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\\Pgsrv05\suag\A-SUAG\LICITAÇÃO\PREGAO ELETRONICO 2026\PE 90006 Software Honorários\"/>
    </mc:Choice>
  </mc:AlternateContent>
  <xr:revisionPtr revIDLastSave="0" documentId="8_{7AB4A5CF-292E-4581-85BF-9B98A0EFEF2B}" xr6:coauthVersionLast="47" xr6:coauthVersionMax="47" xr10:uidLastSave="{00000000-0000-0000-0000-000000000000}"/>
  <bookViews>
    <workbookView xWindow="-120" yWindow="-120" windowWidth="29040" windowHeight="15720" tabRatio="826" xr2:uid="{00000000-000D-0000-FFFF-FFFF00000000}"/>
  </bookViews>
  <sheets>
    <sheet name="SOBRA 2026" sheetId="36" r:id="rId1"/>
    <sheet name="Cota" sheetId="6" r:id="rId2"/>
    <sheet name="Dados de Entrada" sheetId="2" r:id="rId3"/>
    <sheet name="Dados dos procuradores" sheetId="1" r:id="rId4"/>
    <sheet name="AUXÍLIOS HONORÁRIOS " sheetId="35" r:id="rId5"/>
    <sheet name="PAGAMENTO" sheetId="25" r:id="rId6"/>
    <sheet name="IR" sheetId="4" r:id="rId7"/>
    <sheet name="PA" sheetId="7" r:id="rId8"/>
  </sheets>
  <definedNames>
    <definedName name="_xlnm._FilterDatabase" localSheetId="4" hidden="1">'AUXÍLIOS HONORÁRIOS '!$A$2:$N$8</definedName>
    <definedName name="_xlnm._FilterDatabase" localSheetId="3" hidden="1">'Dados dos procuradores'!$A$1:$V$6</definedName>
    <definedName name="_xlnm._FilterDatabase" localSheetId="5" hidden="1">PAGAMENTO!$A$3:$Y$15</definedName>
    <definedName name="_xlnm._FilterDatabase" localSheetId="0" hidden="1">'SOBRA 2026'!$A$1:$AF$25</definedName>
    <definedName name="_xlnm.Print_Area" localSheetId="2">'Dados de Entrada'!#REF!</definedName>
    <definedName name="_xlnm.Print_Area" localSheetId="3">'Dados dos procuradores'!$A$1:$V$6</definedName>
    <definedName name="_xlnm.Print_Titles" localSheetId="5">PAGAMENTO!$3:$3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" i="36" l="1"/>
  <c r="C7" i="35"/>
  <c r="C6" i="35"/>
  <c r="X11" i="25"/>
  <c r="O7" i="36" l="1"/>
  <c r="N7" i="36"/>
  <c r="C5" i="6" l="1"/>
  <c r="E8" i="6"/>
  <c r="E5" i="6"/>
  <c r="J8" i="6"/>
  <c r="AE3" i="36" l="1"/>
  <c r="AE4" i="36"/>
  <c r="AE2" i="36"/>
  <c r="C3" i="35" l="1"/>
  <c r="F8" i="35" l="1"/>
  <c r="K5" i="25" l="1"/>
  <c r="K6" i="25"/>
  <c r="K7" i="25"/>
  <c r="K8" i="25"/>
  <c r="H5" i="36" l="1"/>
  <c r="AE5" i="36" s="1"/>
  <c r="C17" i="6" l="1"/>
  <c r="D9" i="6" l="1"/>
  <c r="D10" i="25" l="1"/>
  <c r="L8" i="4" l="1"/>
  <c r="N8" i="4" s="1"/>
  <c r="L4" i="4"/>
  <c r="N4" i="4" s="1"/>
  <c r="O8" i="4" s="1"/>
  <c r="P8" i="4" l="1"/>
  <c r="K4" i="25"/>
  <c r="I4" i="25"/>
  <c r="G2" i="1" l="1"/>
  <c r="C4" i="35" l="1"/>
  <c r="C5" i="35"/>
  <c r="G7" i="36"/>
  <c r="E7" i="36"/>
  <c r="AD7" i="36"/>
  <c r="AC7" i="36"/>
  <c r="AB7" i="36"/>
  <c r="AA7" i="36"/>
  <c r="Z7" i="36"/>
  <c r="Y7" i="36"/>
  <c r="X7" i="36"/>
  <c r="W7" i="36"/>
  <c r="V7" i="36"/>
  <c r="U7" i="36"/>
  <c r="T7" i="36"/>
  <c r="S7" i="36"/>
  <c r="R7" i="36"/>
  <c r="Q7" i="36"/>
  <c r="P7" i="36"/>
  <c r="M7" i="36"/>
  <c r="L7" i="36"/>
  <c r="K7" i="36"/>
  <c r="J7" i="36"/>
  <c r="I7" i="36"/>
  <c r="H7" i="36"/>
  <c r="D7" i="36"/>
  <c r="C7" i="36"/>
  <c r="F7" i="36" l="1"/>
  <c r="E19" i="2" l="1"/>
  <c r="F19" i="2"/>
  <c r="G19" i="2"/>
  <c r="D19" i="2"/>
  <c r="I19" i="2" l="1"/>
  <c r="K17" i="2" s="1"/>
  <c r="P5" i="25" l="1"/>
  <c r="P6" i="25"/>
  <c r="P7" i="25"/>
  <c r="P8" i="25"/>
  <c r="P4" i="25"/>
  <c r="E16" i="2" l="1"/>
  <c r="F16" i="2"/>
  <c r="G16" i="2"/>
  <c r="D16" i="2"/>
  <c r="I8" i="6"/>
  <c r="I7" i="6"/>
  <c r="I6" i="6"/>
  <c r="I5" i="6"/>
  <c r="I9" i="6" l="1"/>
  <c r="I16" i="2"/>
  <c r="K14" i="2" s="1"/>
  <c r="P10" i="25" l="1"/>
  <c r="E13" i="2" l="1"/>
  <c r="F13" i="2"/>
  <c r="G13" i="2"/>
  <c r="D13" i="2"/>
  <c r="I13" i="2" l="1"/>
  <c r="K11" i="2" s="1"/>
  <c r="E10" i="2" l="1"/>
  <c r="F10" i="2"/>
  <c r="G10" i="2"/>
  <c r="D10" i="2"/>
  <c r="I10" i="2" l="1"/>
  <c r="K8" i="2" s="1"/>
  <c r="E7" i="2" l="1"/>
  <c r="F7" i="2"/>
  <c r="G7" i="2"/>
  <c r="D7" i="2"/>
  <c r="I7" i="2" l="1"/>
  <c r="K5" i="2" s="1"/>
  <c r="H5" i="6" l="1"/>
  <c r="H6" i="6"/>
  <c r="J6" i="6" s="1"/>
  <c r="H7" i="6"/>
  <c r="J7" i="6" s="1"/>
  <c r="C14" i="6" l="1"/>
  <c r="J5" i="6"/>
  <c r="J9" i="6" s="1"/>
  <c r="J11" i="6" s="1"/>
  <c r="E4" i="2" l="1"/>
  <c r="F4" i="2"/>
  <c r="G4" i="2"/>
  <c r="D4" i="2"/>
  <c r="I4" i="2" l="1"/>
  <c r="K2" i="2" s="1"/>
  <c r="E22" i="2" l="1"/>
  <c r="F22" i="2"/>
  <c r="G22" i="2"/>
  <c r="D22" i="2"/>
  <c r="I22" i="2" l="1"/>
  <c r="K20" i="2" s="1"/>
  <c r="C7" i="6" l="1"/>
  <c r="C16" i="6" l="1"/>
  <c r="E7" i="6"/>
  <c r="C6" i="6" l="1"/>
  <c r="C15" i="6" l="1"/>
  <c r="E6" i="6"/>
  <c r="E9" i="6" s="1"/>
  <c r="J6" i="1" l="1"/>
  <c r="J5" i="1"/>
  <c r="J3" i="1"/>
  <c r="J4" i="1"/>
  <c r="I3" i="1"/>
  <c r="I4" i="1"/>
  <c r="I5" i="1"/>
  <c r="I6" i="1"/>
  <c r="I2" i="1"/>
  <c r="J2" i="1"/>
  <c r="H3" i="1" l="1"/>
  <c r="H4" i="1"/>
  <c r="H5" i="1"/>
  <c r="H6" i="1"/>
  <c r="H2" i="1"/>
  <c r="K2" i="1" l="1"/>
  <c r="L2" i="1"/>
  <c r="M2" i="1"/>
  <c r="D3" i="35" s="1"/>
  <c r="E3" i="35" s="1"/>
  <c r="N2" i="1"/>
  <c r="O2" i="1"/>
  <c r="P2" i="1"/>
  <c r="Q2" i="1"/>
  <c r="R2" i="1"/>
  <c r="K3" i="1"/>
  <c r="L3" i="1"/>
  <c r="M3" i="1"/>
  <c r="D4" i="35" s="1"/>
  <c r="N3" i="1"/>
  <c r="O3" i="1"/>
  <c r="P3" i="1"/>
  <c r="Q3" i="1"/>
  <c r="R3" i="1"/>
  <c r="K4" i="1"/>
  <c r="L4" i="1"/>
  <c r="M4" i="1"/>
  <c r="D5" i="35" s="1"/>
  <c r="N4" i="1"/>
  <c r="O4" i="1"/>
  <c r="P4" i="1"/>
  <c r="Q4" i="1"/>
  <c r="R4" i="1"/>
  <c r="K5" i="1"/>
  <c r="L5" i="1"/>
  <c r="M5" i="1"/>
  <c r="D6" i="35" s="1"/>
  <c r="N5" i="1"/>
  <c r="O5" i="1"/>
  <c r="P5" i="1"/>
  <c r="Q5" i="1"/>
  <c r="R5" i="1"/>
  <c r="K6" i="1"/>
  <c r="L6" i="1"/>
  <c r="M6" i="1"/>
  <c r="D7" i="35" s="1"/>
  <c r="N6" i="1"/>
  <c r="O6" i="1"/>
  <c r="P6" i="1"/>
  <c r="Q6" i="1"/>
  <c r="R6" i="1"/>
  <c r="F5" i="25"/>
  <c r="F6" i="25"/>
  <c r="F7" i="25"/>
  <c r="F8" i="25"/>
  <c r="G3" i="35" l="1"/>
  <c r="I3" i="35" s="1"/>
  <c r="E6" i="35"/>
  <c r="E5" i="35"/>
  <c r="E4" i="35"/>
  <c r="D8" i="35"/>
  <c r="J3" i="35" l="1"/>
  <c r="K3" i="35"/>
  <c r="L3" i="35" l="1"/>
  <c r="G3" i="1" l="1"/>
  <c r="G4" i="1"/>
  <c r="G5" i="35" s="1"/>
  <c r="G5" i="1"/>
  <c r="G6" i="35" s="1"/>
  <c r="G6" i="1"/>
  <c r="I6" i="35" l="1"/>
  <c r="J6" i="35" s="1"/>
  <c r="C7" i="25" s="1"/>
  <c r="I5" i="35"/>
  <c r="J5" i="35" s="1"/>
  <c r="C6" i="25" s="1"/>
  <c r="G4" i="35" l="1"/>
  <c r="I4" i="35" s="1"/>
  <c r="J4" i="35" l="1"/>
  <c r="C5" i="25" s="1"/>
  <c r="A8" i="25" l="1"/>
  <c r="I141" i="7" l="1"/>
  <c r="I5" i="7"/>
  <c r="H5" i="7"/>
  <c r="G5" i="7"/>
  <c r="F5" i="7"/>
  <c r="E5" i="7"/>
  <c r="D5" i="7"/>
  <c r="L9" i="25" s="1"/>
  <c r="I8" i="25"/>
  <c r="H8" i="25"/>
  <c r="G8" i="25"/>
  <c r="I7" i="25"/>
  <c r="H7" i="25"/>
  <c r="G7" i="25"/>
  <c r="A7" i="25"/>
  <c r="I6" i="25"/>
  <c r="H6" i="25"/>
  <c r="G6" i="25"/>
  <c r="A6" i="25"/>
  <c r="I5" i="25"/>
  <c r="H5" i="25"/>
  <c r="G5" i="25"/>
  <c r="A5" i="25"/>
  <c r="H4" i="25"/>
  <c r="G4" i="25"/>
  <c r="F4" i="25"/>
  <c r="A4" i="25"/>
  <c r="C4" i="25" l="1"/>
  <c r="B4" i="25"/>
  <c r="O9" i="25"/>
  <c r="S9" i="25" s="1"/>
  <c r="I6" i="7"/>
  <c r="H6" i="7"/>
  <c r="G6" i="7"/>
  <c r="F6" i="7"/>
  <c r="E6" i="7"/>
  <c r="D6" i="7"/>
  <c r="L8" i="25" s="1"/>
  <c r="AE7" i="36" l="1"/>
  <c r="E4" i="25"/>
  <c r="L4" i="25" s="1"/>
  <c r="C8" i="35"/>
  <c r="R9" i="25"/>
  <c r="M4" i="25" l="1"/>
  <c r="N4" i="25" s="1"/>
  <c r="E7" i="35"/>
  <c r="E11" i="6"/>
  <c r="G7" i="35" l="1"/>
  <c r="I7" i="35" s="1"/>
  <c r="E8" i="35"/>
  <c r="Q7" i="25"/>
  <c r="K6" i="35"/>
  <c r="B7" i="25" s="1"/>
  <c r="K4" i="35"/>
  <c r="B5" i="25" s="1"/>
  <c r="Q5" i="25"/>
  <c r="J7" i="35" l="1"/>
  <c r="C8" i="25" s="1"/>
  <c r="C10" i="25" s="1"/>
  <c r="G8" i="35"/>
  <c r="E5" i="25"/>
  <c r="L5" i="25" s="1"/>
  <c r="E7" i="25"/>
  <c r="L7" i="25" s="1"/>
  <c r="L4" i="35"/>
  <c r="L6" i="35"/>
  <c r="M5" i="25" l="1"/>
  <c r="M7" i="25"/>
  <c r="V7" i="25" l="1"/>
  <c r="X7" i="25" s="1"/>
  <c r="V5" i="25"/>
  <c r="X5" i="25" s="1"/>
  <c r="K5" i="35"/>
  <c r="B6" i="25" s="1"/>
  <c r="Q6" i="25"/>
  <c r="K7" i="35"/>
  <c r="B8" i="25" s="1"/>
  <c r="Q8" i="25"/>
  <c r="N5" i="25"/>
  <c r="S5" i="25" s="1"/>
  <c r="T5" i="25"/>
  <c r="N7" i="25"/>
  <c r="S7" i="25" s="1"/>
  <c r="T7" i="25"/>
  <c r="H8" i="35"/>
  <c r="O5" i="25" l="1"/>
  <c r="R5" i="25" s="1"/>
  <c r="Q4" i="25"/>
  <c r="Q10" i="25" s="1"/>
  <c r="I8" i="35"/>
  <c r="K8" i="35" s="1"/>
  <c r="L5" i="35"/>
  <c r="Y7" i="25"/>
  <c r="U7" i="25"/>
  <c r="E8" i="25"/>
  <c r="L7" i="35"/>
  <c r="O7" i="25"/>
  <c r="R7" i="25" s="1"/>
  <c r="Y5" i="25"/>
  <c r="U5" i="25"/>
  <c r="M8" i="25" l="1"/>
  <c r="B10" i="25"/>
  <c r="E6" i="25"/>
  <c r="L6" i="25" s="1"/>
  <c r="L10" i="25" s="1"/>
  <c r="J8" i="35"/>
  <c r="L8" i="35"/>
  <c r="V8" i="25" l="1"/>
  <c r="X8" i="25" s="1"/>
  <c r="M6" i="25"/>
  <c r="N6" i="25" s="1"/>
  <c r="O6" i="25" s="1"/>
  <c r="R6" i="25" s="1"/>
  <c r="N8" i="25"/>
  <c r="T8" i="25"/>
  <c r="S8" i="25" l="1"/>
  <c r="O8" i="25"/>
  <c r="R8" i="25" s="1"/>
  <c r="T6" i="25"/>
  <c r="U6" i="25" s="1"/>
  <c r="V6" i="25"/>
  <c r="X6" i="25" s="1"/>
  <c r="S6" i="25"/>
  <c r="M10" i="25"/>
  <c r="U8" i="25"/>
  <c r="Y8" i="25"/>
  <c r="E10" i="25"/>
  <c r="Y6" i="25" l="1"/>
  <c r="V4" i="25"/>
  <c r="V10" i="25" s="1"/>
  <c r="T4" i="25"/>
  <c r="T10" i="25" s="1"/>
  <c r="X4" i="25" l="1"/>
  <c r="X10" i="25" s="1"/>
  <c r="X12" i="25" s="1"/>
  <c r="U4" i="25"/>
  <c r="U10" i="25" s="1"/>
  <c r="N10" i="25"/>
  <c r="S4" i="25" l="1"/>
  <c r="E14" i="25"/>
  <c r="O4" i="25"/>
  <c r="Y4" i="25"/>
  <c r="E13" i="25" l="1"/>
  <c r="C13" i="25"/>
  <c r="C12" i="25"/>
  <c r="E12" i="25"/>
  <c r="Y10" i="25"/>
  <c r="R4" i="25"/>
  <c r="R10" i="25" s="1"/>
  <c r="O10" i="25"/>
  <c r="S10" i="25"/>
  <c r="E15" i="2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tc={F4A25FDA-447C-4B0E-9FEB-ECE32AA3A6B4}</author>
  </authors>
  <commentList>
    <comment ref="V3" authorId="0" shapeId="0" xr:uid="{00000000-0006-0000-0300-000001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com dedução das PAs</t>
      </text>
    </comment>
  </commentList>
</comments>
</file>

<file path=xl/sharedStrings.xml><?xml version="1.0" encoding="utf-8"?>
<sst xmlns="http://schemas.openxmlformats.org/spreadsheetml/2006/main" count="221" uniqueCount="149">
  <si>
    <t>TOTAIS</t>
  </si>
  <si>
    <t xml:space="preserve">REPASSE RECEBIDO </t>
  </si>
  <si>
    <t>SOBRA DO MÊS</t>
  </si>
  <si>
    <t>Observação</t>
  </si>
  <si>
    <t>VALOR DA COTA</t>
  </si>
  <si>
    <t>QUANTIDADE DE PROCURADORES</t>
  </si>
  <si>
    <t>TOTAL PAGO</t>
  </si>
  <si>
    <t xml:space="preserve">Nome </t>
  </si>
  <si>
    <t>Observações</t>
  </si>
  <si>
    <t>Declaração</t>
  </si>
  <si>
    <t>Data Entrada</t>
  </si>
  <si>
    <t>Data Saída</t>
  </si>
  <si>
    <t>Matrícula</t>
  </si>
  <si>
    <t>CPF</t>
  </si>
  <si>
    <t>Conta</t>
  </si>
  <si>
    <t>Banco</t>
  </si>
  <si>
    <t>Agência</t>
  </si>
  <si>
    <t>ITAÚ (341)</t>
  </si>
  <si>
    <t>VALOR TETO STF</t>
  </si>
  <si>
    <t>SOBRA ACUMULADA ANTERIOR</t>
  </si>
  <si>
    <t>TOTAL BRUTO</t>
  </si>
  <si>
    <t>Valor Falta p/ Atingir Teto *</t>
  </si>
  <si>
    <t>VALOR A DISTRIBUIR ANTES IR</t>
  </si>
  <si>
    <t>IR - SEM ARRENDONDAMENTOS</t>
  </si>
  <si>
    <t>IR ARREDONDADO</t>
  </si>
  <si>
    <t>TOTAL LÍQUIDO</t>
  </si>
  <si>
    <t>SOBRA ACUMULADA ATUAL</t>
  </si>
  <si>
    <t>250.545.976-20</t>
  </si>
  <si>
    <t>29825-6</t>
  </si>
  <si>
    <t>TOTAL</t>
  </si>
  <si>
    <t>TOTAL DEPÓSITOS BRB</t>
  </si>
  <si>
    <t>TOTAL DEPÓSITOS TED</t>
  </si>
  <si>
    <t>TOTAL IMPOSTO DE RENDA</t>
  </si>
  <si>
    <t>TOTAL DISTRIBUÍDO</t>
  </si>
  <si>
    <t>Base de cálculo</t>
  </si>
  <si>
    <t>Alíquota</t>
  </si>
  <si>
    <t>Parcela a deduzir</t>
  </si>
  <si>
    <t>IR</t>
  </si>
  <si>
    <t>DISTRIBUIÇÃO DE HONORÁRIOS SUCUMBÊNCIA</t>
  </si>
  <si>
    <t xml:space="preserve">DISTRIBUIÇÃO DE HONORÁRIOS ENCARGOS </t>
  </si>
  <si>
    <t xml:space="preserve">Referente: </t>
  </si>
  <si>
    <t>PERCENTUAL</t>
  </si>
  <si>
    <t>VALOR BRUTO</t>
  </si>
  <si>
    <t>TOTAL DE PROCURADORES</t>
  </si>
  <si>
    <t xml:space="preserve">Valor a distribuir </t>
  </si>
  <si>
    <t>Sobra no mês</t>
  </si>
  <si>
    <t>TOTAL COTA 40%</t>
  </si>
  <si>
    <t>TOTAL COTA 60%</t>
  </si>
  <si>
    <t>TOTAL COTA 80%</t>
  </si>
  <si>
    <t>TOTAL COTA 100%</t>
  </si>
  <si>
    <t>PA</t>
  </si>
  <si>
    <t>S+E</t>
  </si>
  <si>
    <t>JULHO</t>
  </si>
  <si>
    <t>AGOSTO</t>
  </si>
  <si>
    <t>SETEMBRO</t>
  </si>
  <si>
    <t>OUTUBRO</t>
  </si>
  <si>
    <t>NOVEMBRO</t>
  </si>
  <si>
    <t>DEZEMBRO</t>
  </si>
  <si>
    <t>DÉCIMO TERCEIRO</t>
  </si>
  <si>
    <t>PERCENTUAL PA</t>
  </si>
  <si>
    <t>PENSIONISTAS:</t>
  </si>
  <si>
    <t>VALOR BRUTO - IR</t>
  </si>
  <si>
    <t>VALOR A RECEBER</t>
  </si>
  <si>
    <t xml:space="preserve">PROCURADOR </t>
  </si>
  <si>
    <t>SOBRA JANEIRO</t>
  </si>
  <si>
    <t>SOBRA PAGA EM JANEIRO</t>
  </si>
  <si>
    <t>SOBRA FEVEREIRO</t>
  </si>
  <si>
    <t>SOBRA MARÇO</t>
  </si>
  <si>
    <t>SOBRA ABRIL</t>
  </si>
  <si>
    <t>SOBRA MAIO</t>
  </si>
  <si>
    <t>SOBRA JUNHO</t>
  </si>
  <si>
    <t>SOBRA JULHO</t>
  </si>
  <si>
    <t>SOBRA AGOSTO</t>
  </si>
  <si>
    <t>SOBRA SETEMBRO</t>
  </si>
  <si>
    <t>SOBRA OUTUBRO</t>
  </si>
  <si>
    <t>SOBRA NOVEMBRO</t>
  </si>
  <si>
    <t>SOBRA DEZEMBRO</t>
  </si>
  <si>
    <t xml:space="preserve">RENDIMENTOS </t>
  </si>
  <si>
    <t>SOBRA PAGA FEVEREIRO</t>
  </si>
  <si>
    <t>SOBRA PAGA MARÇO</t>
  </si>
  <si>
    <t>SOBRA PAGA ABRIL</t>
  </si>
  <si>
    <t>SOBRA PAGA MAIO</t>
  </si>
  <si>
    <t>COMPLEMENTO FÉRIAS PAGO</t>
  </si>
  <si>
    <t>COMPLEMENTO</t>
  </si>
  <si>
    <t>SOBRA PAGA JUNHO</t>
  </si>
  <si>
    <t>SOBRA PAGA JULHO</t>
  </si>
  <si>
    <t>SOBRA PAGA AGOSTO</t>
  </si>
  <si>
    <t>SOBRA PAGA SETEMBRO</t>
  </si>
  <si>
    <t>SOBRA PAGA OUTUBRO</t>
  </si>
  <si>
    <t>SOBRA PAGA NOVEMBRO</t>
  </si>
  <si>
    <t>PAGAMENTO 13°</t>
  </si>
  <si>
    <t>SOBRA PAGA DEZEMBRO</t>
  </si>
  <si>
    <t>PROPORCIONAL</t>
  </si>
  <si>
    <t>RENDIMENTOS</t>
  </si>
  <si>
    <t>HONORÁRIOS 2024</t>
  </si>
  <si>
    <t>TETO AUX. SAÚDE</t>
  </si>
  <si>
    <t>BASE AUX.SAÚDE</t>
  </si>
  <si>
    <t>AUX. SAÚDE DIGEP</t>
  </si>
  <si>
    <t xml:space="preserve">VALOR LIQUIDO AUX. SAÚDE </t>
  </si>
  <si>
    <t>BASE para RATEIO de HONORÁRIOS</t>
  </si>
  <si>
    <t>SOBRA PAGA</t>
  </si>
  <si>
    <t>JULHO HONORÁRIOS</t>
  </si>
  <si>
    <t xml:space="preserve">AGOSTO HONORÁRIOS </t>
  </si>
  <si>
    <t xml:space="preserve">OUTUBRO HONORÁRIOS </t>
  </si>
  <si>
    <t>NOVEMBRO HONORÁRIOS</t>
  </si>
  <si>
    <t>DEZEMBRO HONORÁRIOS</t>
  </si>
  <si>
    <t>BASE PARA RATEIO DE HONORÁRIO</t>
  </si>
  <si>
    <t>VALOR LÍQUIDO HONORÁRIOS (a)</t>
  </si>
  <si>
    <t>DIFERENÇA</t>
  </si>
  <si>
    <t>SETEMBRO  HONORÁRIOS</t>
  </si>
  <si>
    <t>BASE AUX. ALIMENTAÇÃO</t>
  </si>
  <si>
    <t>AUX. ALIMENTAÇÃO DIGEP</t>
  </si>
  <si>
    <t>AUXÍLIO ALIMENTAÇÃO (b)</t>
  </si>
  <si>
    <t>REEMBOLSO AUXÍLIO SAÚDE  (c)</t>
  </si>
  <si>
    <t>VALOR TOTAL PAGO NO MÊS (a+b+c)</t>
  </si>
  <si>
    <t>SOBRA DISTRIBUÍDA NO TOTAL (INCLUI AUXÍLIOS)</t>
  </si>
  <si>
    <t>ENCARGOS DEZEMBRO</t>
  </si>
  <si>
    <t>TOTAL SOBRA DO ANO 2025</t>
  </si>
  <si>
    <t>SOBRA TOTAL 2026</t>
  </si>
  <si>
    <t>NOVO IR - 2026</t>
  </si>
  <si>
    <t>&lt;</t>
  </si>
  <si>
    <t>&gt;</t>
  </si>
  <si>
    <t>Limite legal de IR</t>
  </si>
  <si>
    <t>HON</t>
  </si>
  <si>
    <t>ÍNDICE</t>
  </si>
  <si>
    <t>IR LIMITE</t>
  </si>
  <si>
    <t>hon</t>
  </si>
  <si>
    <t>índice</t>
  </si>
  <si>
    <t>PARCELA A DEDUZIR</t>
  </si>
  <si>
    <t>IR APÓS DEDUÇÃO</t>
  </si>
  <si>
    <t>BENEFICIO</t>
  </si>
  <si>
    <t>IR FINAL</t>
  </si>
  <si>
    <t>EXEMPLO</t>
  </si>
  <si>
    <t>HONORÁRIOS - COTA DO MÊS</t>
  </si>
  <si>
    <t>JULHO/2026</t>
  </si>
  <si>
    <t>HONORÁRIOS JULHO</t>
  </si>
  <si>
    <t>Remuneração JULHO</t>
  </si>
  <si>
    <t>SOBRA DISTRIBUIDA JULHO</t>
  </si>
  <si>
    <t>TESTE 1</t>
  </si>
  <si>
    <t>TESTE 2</t>
  </si>
  <si>
    <t>TESTE 3</t>
  </si>
  <si>
    <t>TESTE 4</t>
  </si>
  <si>
    <t>TESTE 5</t>
  </si>
  <si>
    <t>000.000.000-01</t>
  </si>
  <si>
    <t>000.000.000-02</t>
  </si>
  <si>
    <t>000.000.000-03</t>
  </si>
  <si>
    <t>000.000.000-04</t>
  </si>
  <si>
    <t>000.000.000-05</t>
  </si>
  <si>
    <t>PENSIONISTA DE TESTE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</si>
</sst>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0000"/>
    <numFmt numFmtId="166" formatCode="0.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00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</borders>
  <cellStyleXfs count="3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44" fontId="0" fillId="0" borderId="0" xfId="1" applyFont="1"/>
    <xf numFmtId="0" fontId="2" fillId="0" borderId="10" xfId="0" applyFont="1" applyBorder="1" applyAlignment="1">
      <alignment horizontal="center"/>
    </xf>
    <xf numFmtId="10" fontId="0" fillId="0" borderId="6" xfId="2" applyNumberFormat="1" applyFont="1" applyBorder="1"/>
    <xf numFmtId="0" fontId="0" fillId="0" borderId="7" xfId="0" applyBorder="1"/>
    <xf numFmtId="10" fontId="0" fillId="0" borderId="9" xfId="2" applyNumberFormat="1" applyFont="1" applyBorder="1"/>
    <xf numFmtId="0" fontId="0" fillId="0" borderId="11" xfId="0" applyBorder="1"/>
    <xf numFmtId="10" fontId="0" fillId="0" borderId="12" xfId="2" applyNumberFormat="1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44" fontId="7" fillId="0" borderId="3" xfId="1" applyFont="1" applyFill="1" applyBorder="1" applyAlignment="1">
      <alignment horizontal="center"/>
    </xf>
    <xf numFmtId="0" fontId="7" fillId="0" borderId="5" xfId="0" applyFont="1" applyBorder="1"/>
    <xf numFmtId="44" fontId="7" fillId="0" borderId="1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4" fontId="7" fillId="0" borderId="0" xfId="0" applyNumberFormat="1" applyFont="1" applyAlignment="1">
      <alignment horizont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0" applyFont="1"/>
    <xf numFmtId="9" fontId="11" fillId="2" borderId="1" xfId="2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/>
    <xf numFmtId="14" fontId="12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11" fillId="0" borderId="5" xfId="0" applyFont="1" applyBorder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44" fontId="0" fillId="0" borderId="19" xfId="1" applyFont="1" applyBorder="1" applyAlignment="1">
      <alignment vertical="center"/>
    </xf>
    <xf numFmtId="44" fontId="0" fillId="0" borderId="25" xfId="1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26" xfId="0" applyFont="1" applyBorder="1" applyAlignment="1">
      <alignment vertical="center"/>
    </xf>
    <xf numFmtId="9" fontId="2" fillId="4" borderId="10" xfId="0" applyNumberFormat="1" applyFont="1" applyFill="1" applyBorder="1" applyAlignment="1">
      <alignment horizontal="center" vertical="center" wrapText="1"/>
    </xf>
    <xf numFmtId="44" fontId="0" fillId="5" borderId="19" xfId="1" applyFont="1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12" fillId="0" borderId="11" xfId="0" applyFont="1" applyBorder="1"/>
    <xf numFmtId="44" fontId="0" fillId="0" borderId="28" xfId="1" applyFont="1" applyBorder="1" applyAlignment="1">
      <alignment vertical="center"/>
    </xf>
    <xf numFmtId="0" fontId="14" fillId="0" borderId="28" xfId="0" applyFont="1" applyBorder="1" applyAlignment="1">
      <alignment horizontal="center" vertical="center"/>
    </xf>
    <xf numFmtId="44" fontId="0" fillId="0" borderId="36" xfId="0" applyNumberFormat="1" applyBorder="1"/>
    <xf numFmtId="44" fontId="0" fillId="0" borderId="0" xfId="0" applyNumberFormat="1"/>
    <xf numFmtId="44" fontId="0" fillId="0" borderId="1" xfId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4" fontId="7" fillId="0" borderId="1" xfId="0" applyNumberFormat="1" applyFont="1" applyBorder="1" applyAlignment="1">
      <alignment horizontal="center"/>
    </xf>
    <xf numFmtId="44" fontId="8" fillId="0" borderId="8" xfId="0" applyNumberFormat="1" applyFont="1" applyBorder="1" applyAlignment="1">
      <alignment horizontal="center"/>
    </xf>
    <xf numFmtId="9" fontId="0" fillId="0" borderId="3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44" fontId="7" fillId="0" borderId="27" xfId="1" applyFont="1" applyFill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 vertical="center"/>
    </xf>
    <xf numFmtId="9" fontId="2" fillId="11" borderId="10" xfId="0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vertical="center"/>
    </xf>
    <xf numFmtId="0" fontId="7" fillId="0" borderId="41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9" fillId="4" borderId="17" xfId="0" applyFont="1" applyFill="1" applyBorder="1" applyAlignment="1">
      <alignment horizontal="center" vertical="center" wrapText="1"/>
    </xf>
    <xf numFmtId="14" fontId="9" fillId="4" borderId="17" xfId="0" applyNumberFormat="1" applyFont="1" applyFill="1" applyBorder="1" applyAlignment="1">
      <alignment horizontal="center" vertical="center" wrapText="1"/>
    </xf>
    <xf numFmtId="44" fontId="7" fillId="0" borderId="0" xfId="0" applyNumberFormat="1" applyFont="1"/>
    <xf numFmtId="44" fontId="2" fillId="0" borderId="40" xfId="1" applyFont="1" applyFill="1" applyBorder="1" applyAlignment="1">
      <alignment vertical="center"/>
    </xf>
    <xf numFmtId="44" fontId="0" fillId="0" borderId="40" xfId="1" applyFont="1" applyFill="1" applyBorder="1" applyAlignment="1">
      <alignment vertical="center"/>
    </xf>
    <xf numFmtId="0" fontId="2" fillId="0" borderId="40" xfId="0" applyFont="1" applyBorder="1" applyAlignment="1">
      <alignment vertical="center"/>
    </xf>
    <xf numFmtId="44" fontId="7" fillId="12" borderId="1" xfId="1" applyFont="1" applyFill="1" applyBorder="1" applyAlignment="1">
      <alignment horizontal="center"/>
    </xf>
    <xf numFmtId="0" fontId="14" fillId="8" borderId="42" xfId="0" applyFont="1" applyFill="1" applyBorder="1" applyAlignment="1">
      <alignment horizontal="center" vertical="center"/>
    </xf>
    <xf numFmtId="44" fontId="14" fillId="8" borderId="43" xfId="1" applyFont="1" applyFill="1" applyBorder="1" applyAlignment="1">
      <alignment horizontal="center" vertical="center"/>
    </xf>
    <xf numFmtId="0" fontId="0" fillId="0" borderId="1" xfId="0" applyBorder="1"/>
    <xf numFmtId="0" fontId="0" fillId="0" borderId="8" xfId="0" applyBorder="1"/>
    <xf numFmtId="0" fontId="11" fillId="0" borderId="3" xfId="0" applyFont="1" applyBorder="1"/>
    <xf numFmtId="44" fontId="0" fillId="0" borderId="1" xfId="0" applyNumberFormat="1" applyBorder="1"/>
    <xf numFmtId="9" fontId="0" fillId="0" borderId="1" xfId="0" applyNumberFormat="1" applyBorder="1"/>
    <xf numFmtId="0" fontId="0" fillId="0" borderId="27" xfId="0" applyBorder="1"/>
    <xf numFmtId="0" fontId="7" fillId="0" borderId="27" xfId="0" applyFont="1" applyBorder="1"/>
    <xf numFmtId="0" fontId="0" fillId="0" borderId="3" xfId="0" applyBorder="1"/>
    <xf numFmtId="0" fontId="2" fillId="0" borderId="1" xfId="0" applyFont="1" applyBorder="1" applyAlignment="1">
      <alignment horizontal="center"/>
    </xf>
    <xf numFmtId="4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horizontal="right"/>
    </xf>
    <xf numFmtId="49" fontId="0" fillId="0" borderId="3" xfId="0" applyNumberFormat="1" applyBorder="1" applyAlignment="1">
      <alignment horizontal="center"/>
    </xf>
    <xf numFmtId="44" fontId="0" fillId="0" borderId="4" xfId="0" applyNumberFormat="1" applyBorder="1"/>
    <xf numFmtId="0" fontId="0" fillId="0" borderId="8" xfId="0" applyBorder="1" applyAlignment="1">
      <alignment horizontal="right"/>
    </xf>
    <xf numFmtId="0" fontId="2" fillId="0" borderId="8" xfId="0" applyFont="1" applyBorder="1" applyAlignment="1">
      <alignment horizontal="center"/>
    </xf>
    <xf numFmtId="44" fontId="0" fillId="0" borderId="9" xfId="0" applyNumberFormat="1" applyBorder="1"/>
    <xf numFmtId="44" fontId="0" fillId="0" borderId="27" xfId="1" applyFont="1" applyBorder="1"/>
    <xf numFmtId="0" fontId="7" fillId="10" borderId="27" xfId="0" applyFont="1" applyFill="1" applyBorder="1"/>
    <xf numFmtId="44" fontId="0" fillId="0" borderId="1" xfId="1" applyFont="1" applyBorder="1"/>
    <xf numFmtId="44" fontId="7" fillId="12" borderId="27" xfId="1" applyFont="1" applyFill="1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7" fillId="0" borderId="46" xfId="0" applyFont="1" applyBorder="1" applyAlignment="1">
      <alignment horizontal="center"/>
    </xf>
    <xf numFmtId="44" fontId="7" fillId="0" borderId="41" xfId="0" applyNumberFormat="1" applyFont="1" applyBorder="1" applyAlignment="1">
      <alignment horizontal="center"/>
    </xf>
    <xf numFmtId="0" fontId="8" fillId="12" borderId="5" xfId="0" applyFont="1" applyFill="1" applyBorder="1" applyAlignment="1">
      <alignment wrapText="1"/>
    </xf>
    <xf numFmtId="0" fontId="13" fillId="13" borderId="0" xfId="0" applyFont="1" applyFill="1"/>
    <xf numFmtId="4" fontId="13" fillId="13" borderId="0" xfId="1" applyNumberFormat="1" applyFont="1" applyFill="1" applyAlignment="1">
      <alignment horizontal="left" vertical="center"/>
    </xf>
    <xf numFmtId="44" fontId="7" fillId="0" borderId="46" xfId="0" applyNumberFormat="1" applyFont="1" applyBorder="1" applyAlignment="1">
      <alignment horizontal="center"/>
    </xf>
    <xf numFmtId="164" fontId="7" fillId="0" borderId="0" xfId="0" applyNumberFormat="1" applyFont="1"/>
    <xf numFmtId="44" fontId="7" fillId="0" borderId="27" xfId="0" applyNumberFormat="1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44" fontId="13" fillId="4" borderId="10" xfId="0" applyNumberFormat="1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44" fontId="7" fillId="0" borderId="0" xfId="1" applyFont="1" applyFill="1" applyAlignment="1">
      <alignment horizontal="center"/>
    </xf>
    <xf numFmtId="44" fontId="13" fillId="4" borderId="10" xfId="1" applyFont="1" applyFill="1" applyBorder="1" applyAlignment="1">
      <alignment horizontal="center" vertical="center" wrapText="1"/>
    </xf>
    <xf numFmtId="44" fontId="0" fillId="0" borderId="0" xfId="1" applyFont="1" applyBorder="1"/>
    <xf numFmtId="0" fontId="7" fillId="0" borderId="3" xfId="1" applyNumberFormat="1" applyFont="1" applyFill="1" applyBorder="1" applyAlignment="1"/>
    <xf numFmtId="0" fontId="7" fillId="0" borderId="1" xfId="1" applyNumberFormat="1" applyFont="1" applyFill="1" applyBorder="1" applyAlignment="1"/>
    <xf numFmtId="0" fontId="7" fillId="0" borderId="8" xfId="1" applyNumberFormat="1" applyFont="1" applyFill="1" applyBorder="1" applyAlignment="1"/>
    <xf numFmtId="44" fontId="0" fillId="0" borderId="41" xfId="1" applyFont="1" applyBorder="1"/>
    <xf numFmtId="0" fontId="8" fillId="12" borderId="48" xfId="0" applyFont="1" applyFill="1" applyBorder="1" applyAlignment="1">
      <alignment wrapText="1"/>
    </xf>
    <xf numFmtId="0" fontId="7" fillId="0" borderId="48" xfId="0" applyFont="1" applyBorder="1" applyAlignment="1">
      <alignment horizontal="right"/>
    </xf>
    <xf numFmtId="0" fontId="7" fillId="0" borderId="50" xfId="0" applyFont="1" applyBorder="1" applyAlignment="1">
      <alignment horizontal="right"/>
    </xf>
    <xf numFmtId="164" fontId="7" fillId="0" borderId="0" xfId="0" applyNumberFormat="1" applyFont="1" applyAlignment="1">
      <alignment horizontal="center"/>
    </xf>
    <xf numFmtId="44" fontId="3" fillId="0" borderId="38" xfId="0" applyNumberFormat="1" applyFont="1" applyBorder="1"/>
    <xf numFmtId="0" fontId="7" fillId="12" borderId="41" xfId="1" applyNumberFormat="1" applyFont="1" applyFill="1" applyBorder="1" applyAlignment="1">
      <alignment horizontal="center"/>
    </xf>
    <xf numFmtId="0" fontId="15" fillId="17" borderId="44" xfId="0" applyFont="1" applyFill="1" applyBorder="1"/>
    <xf numFmtId="0" fontId="11" fillId="17" borderId="2" xfId="0" applyFont="1" applyFill="1" applyBorder="1"/>
    <xf numFmtId="0" fontId="19" fillId="0" borderId="8" xfId="0" applyFont="1" applyBorder="1"/>
    <xf numFmtId="44" fontId="0" fillId="0" borderId="27" xfId="1" applyFont="1" applyFill="1" applyBorder="1"/>
    <xf numFmtId="0" fontId="13" fillId="0" borderId="0" xfId="0" applyFont="1"/>
    <xf numFmtId="4" fontId="13" fillId="0" borderId="0" xfId="1" applyNumberFormat="1" applyFont="1" applyFill="1" applyAlignment="1">
      <alignment horizontal="left" vertical="center"/>
    </xf>
    <xf numFmtId="0" fontId="18" fillId="0" borderId="10" xfId="0" applyFont="1" applyBorder="1"/>
    <xf numFmtId="44" fontId="18" fillId="0" borderId="17" xfId="1" applyFont="1" applyFill="1" applyBorder="1" applyAlignment="1">
      <alignment horizontal="center" vertical="center" wrapText="1"/>
    </xf>
    <xf numFmtId="0" fontId="0" fillId="13" borderId="1" xfId="0" applyFill="1" applyBorder="1"/>
    <xf numFmtId="0" fontId="7" fillId="0" borderId="11" xfId="0" applyFont="1" applyBorder="1"/>
    <xf numFmtId="0" fontId="2" fillId="0" borderId="10" xfId="0" applyFont="1" applyBorder="1"/>
    <xf numFmtId="0" fontId="2" fillId="0" borderId="29" xfId="0" applyFont="1" applyBorder="1"/>
    <xf numFmtId="44" fontId="2" fillId="0" borderId="0" xfId="1" applyFont="1" applyBorder="1"/>
    <xf numFmtId="44" fontId="18" fillId="0" borderId="17" xfId="1" applyFont="1" applyBorder="1" applyAlignment="1">
      <alignment horizontal="center" vertical="center" wrapText="1"/>
    </xf>
    <xf numFmtId="44" fontId="0" fillId="18" borderId="18" xfId="1" applyFont="1" applyFill="1" applyBorder="1"/>
    <xf numFmtId="2" fontId="0" fillId="0" borderId="0" xfId="0" applyNumberFormat="1"/>
    <xf numFmtId="44" fontId="7" fillId="12" borderId="46" xfId="0" applyNumberFormat="1" applyFont="1" applyFill="1" applyBorder="1" applyAlignment="1">
      <alignment horizontal="center"/>
    </xf>
    <xf numFmtId="44" fontId="0" fillId="0" borderId="18" xfId="1" applyFont="1" applyFill="1" applyBorder="1"/>
    <xf numFmtId="44" fontId="18" fillId="0" borderId="17" xfId="1" applyFont="1" applyFill="1" applyBorder="1" applyAlignment="1">
      <alignment horizontal="center" vertical="center"/>
    </xf>
    <xf numFmtId="44" fontId="0" fillId="0" borderId="38" xfId="1" applyFont="1" applyBorder="1"/>
    <xf numFmtId="44" fontId="0" fillId="0" borderId="18" xfId="1" applyFont="1" applyBorder="1"/>
    <xf numFmtId="0" fontId="3" fillId="0" borderId="51" xfId="0" applyFont="1" applyBorder="1"/>
    <xf numFmtId="43" fontId="7" fillId="0" borderId="27" xfId="0" applyNumberFormat="1" applyFont="1" applyBorder="1"/>
    <xf numFmtId="44" fontId="2" fillId="0" borderId="27" xfId="0" applyNumberFormat="1" applyFont="1" applyBorder="1"/>
    <xf numFmtId="44" fontId="0" fillId="0" borderId="1" xfId="1" applyFont="1" applyFill="1" applyBorder="1" applyAlignment="1">
      <alignment vertical="center"/>
    </xf>
    <xf numFmtId="9" fontId="0" fillId="0" borderId="7" xfId="0" applyNumberFormat="1" applyBorder="1" applyAlignment="1">
      <alignment horizontal="center" vertical="center"/>
    </xf>
    <xf numFmtId="44" fontId="0" fillId="0" borderId="8" xfId="1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6" fillId="16" borderId="1" xfId="0" applyFont="1" applyFill="1" applyBorder="1"/>
    <xf numFmtId="44" fontId="16" fillId="16" borderId="1" xfId="0" applyNumberFormat="1" applyFont="1" applyFill="1" applyBorder="1"/>
    <xf numFmtId="0" fontId="0" fillId="7" borderId="32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9" borderId="29" xfId="0" applyFill="1" applyBorder="1"/>
    <xf numFmtId="49" fontId="2" fillId="9" borderId="29" xfId="0" applyNumberFormat="1" applyFont="1" applyFill="1" applyBorder="1" applyAlignment="1">
      <alignment horizontal="left"/>
    </xf>
    <xf numFmtId="0" fontId="0" fillId="9" borderId="30" xfId="0" applyFill="1" applyBorder="1"/>
    <xf numFmtId="0" fontId="0" fillId="9" borderId="31" xfId="0" applyFill="1" applyBorder="1"/>
    <xf numFmtId="0" fontId="0" fillId="7" borderId="47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 wrapText="1"/>
    </xf>
    <xf numFmtId="44" fontId="0" fillId="0" borderId="48" xfId="1" applyFont="1" applyBorder="1"/>
    <xf numFmtId="44" fontId="0" fillId="0" borderId="0" xfId="1" applyFont="1" applyFill="1" applyBorder="1"/>
    <xf numFmtId="44" fontId="7" fillId="0" borderId="0" xfId="1" applyFont="1"/>
    <xf numFmtId="0" fontId="0" fillId="5" borderId="1" xfId="0" applyFill="1" applyBorder="1" applyAlignment="1">
      <alignment vertical="center"/>
    </xf>
    <xf numFmtId="0" fontId="0" fillId="0" borderId="48" xfId="0" applyBorder="1" applyAlignment="1">
      <alignment vertical="center"/>
    </xf>
    <xf numFmtId="9" fontId="2" fillId="4" borderId="34" xfId="0" applyNumberFormat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vertical="center"/>
    </xf>
    <xf numFmtId="44" fontId="2" fillId="0" borderId="14" xfId="1" applyFont="1" applyFill="1" applyBorder="1" applyAlignment="1">
      <alignment vertical="center"/>
    </xf>
    <xf numFmtId="44" fontId="2" fillId="0" borderId="41" xfId="0" applyNumberFormat="1" applyFont="1" applyBorder="1" applyAlignment="1">
      <alignment vertical="center"/>
    </xf>
    <xf numFmtId="0" fontId="0" fillId="0" borderId="54" xfId="0" applyBorder="1" applyAlignment="1">
      <alignment vertical="center"/>
    </xf>
    <xf numFmtId="44" fontId="0" fillId="0" borderId="55" xfId="1" applyFont="1" applyBorder="1" applyAlignment="1">
      <alignment vertical="center"/>
    </xf>
    <xf numFmtId="44" fontId="2" fillId="0" borderId="56" xfId="0" applyNumberFormat="1" applyFont="1" applyBorder="1" applyAlignment="1">
      <alignment vertical="center"/>
    </xf>
    <xf numFmtId="0" fontId="0" fillId="0" borderId="57" xfId="0" applyBorder="1" applyAlignment="1">
      <alignment vertical="center"/>
    </xf>
    <xf numFmtId="44" fontId="0" fillId="5" borderId="3" xfId="1" quotePrefix="1" applyFont="1" applyFill="1" applyBorder="1" applyAlignment="1">
      <alignment vertical="center"/>
    </xf>
    <xf numFmtId="44" fontId="0" fillId="0" borderId="3" xfId="1" applyFont="1" applyBorder="1" applyAlignment="1">
      <alignment vertical="center"/>
    </xf>
    <xf numFmtId="44" fontId="2" fillId="0" borderId="58" xfId="0" applyNumberFormat="1" applyFont="1" applyBorder="1" applyAlignment="1">
      <alignment vertical="center"/>
    </xf>
    <xf numFmtId="0" fontId="0" fillId="0" borderId="50" xfId="0" applyBorder="1" applyAlignment="1">
      <alignment vertical="center"/>
    </xf>
    <xf numFmtId="44" fontId="2" fillId="0" borderId="60" xfId="0" applyNumberFormat="1" applyFont="1" applyBorder="1" applyAlignment="1">
      <alignment vertical="center"/>
    </xf>
    <xf numFmtId="0" fontId="7" fillId="0" borderId="27" xfId="1" applyNumberFormat="1" applyFont="1" applyFill="1" applyBorder="1" applyAlignment="1"/>
    <xf numFmtId="44" fontId="13" fillId="13" borderId="61" xfId="1" applyFont="1" applyFill="1" applyBorder="1" applyAlignment="1">
      <alignment vertical="center"/>
    </xf>
    <xf numFmtId="0" fontId="9" fillId="4" borderId="10" xfId="0" applyFont="1" applyFill="1" applyBorder="1" applyAlignment="1">
      <alignment horizontal="center" vertical="center" wrapText="1"/>
    </xf>
    <xf numFmtId="0" fontId="13" fillId="14" borderId="10" xfId="0" applyFont="1" applyFill="1" applyBorder="1" applyAlignment="1">
      <alignment horizontal="center" vertical="center" wrapText="1"/>
    </xf>
    <xf numFmtId="44" fontId="13" fillId="19" borderId="10" xfId="0" applyNumberFormat="1" applyFont="1" applyFill="1" applyBorder="1" applyAlignment="1">
      <alignment horizontal="center" vertical="center" wrapText="1"/>
    </xf>
    <xf numFmtId="44" fontId="21" fillId="0" borderId="0" xfId="0" applyNumberFormat="1" applyFont="1"/>
    <xf numFmtId="44" fontId="7" fillId="3" borderId="0" xfId="0" applyNumberFormat="1" applyFont="1" applyFill="1"/>
    <xf numFmtId="44" fontId="13" fillId="13" borderId="10" xfId="1" applyFont="1" applyFill="1" applyBorder="1" applyAlignment="1">
      <alignment horizontal="center" vertical="center"/>
    </xf>
    <xf numFmtId="44" fontId="22" fillId="0" borderId="40" xfId="1" applyFont="1" applyFill="1" applyBorder="1" applyAlignment="1">
      <alignment horizontal="center" vertical="center" wrapText="1"/>
    </xf>
    <xf numFmtId="44" fontId="2" fillId="0" borderId="0" xfId="0" applyNumberFormat="1" applyFont="1"/>
    <xf numFmtId="0" fontId="23" fillId="4" borderId="10" xfId="0" applyFont="1" applyFill="1" applyBorder="1" applyAlignment="1">
      <alignment horizontal="center" vertical="center" wrapText="1"/>
    </xf>
    <xf numFmtId="0" fontId="23" fillId="20" borderId="10" xfId="0" applyFont="1" applyFill="1" applyBorder="1" applyAlignment="1">
      <alignment horizontal="center" vertical="center" wrapText="1"/>
    </xf>
    <xf numFmtId="0" fontId="23" fillId="21" borderId="10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44" fontId="7" fillId="0" borderId="9" xfId="0" applyNumberFormat="1" applyFont="1" applyBorder="1"/>
    <xf numFmtId="0" fontId="20" fillId="0" borderId="0" xfId="0" quotePrefix="1" applyFont="1"/>
    <xf numFmtId="0" fontId="2" fillId="7" borderId="15" xfId="0" applyFont="1" applyFill="1" applyBorder="1"/>
    <xf numFmtId="0" fontId="2" fillId="7" borderId="0" xfId="0" applyFont="1" applyFill="1"/>
    <xf numFmtId="10" fontId="0" fillId="13" borderId="12" xfId="2" applyNumberFormat="1" applyFont="1" applyFill="1" applyBorder="1"/>
    <xf numFmtId="166" fontId="0" fillId="15" borderId="12" xfId="2" applyNumberFormat="1" applyFont="1" applyFill="1" applyBorder="1"/>
    <xf numFmtId="166" fontId="0" fillId="15" borderId="0" xfId="2" applyNumberFormat="1" applyFont="1" applyFill="1" applyBorder="1"/>
    <xf numFmtId="0" fontId="0" fillId="0" borderId="30" xfId="0" applyBorder="1"/>
    <xf numFmtId="0" fontId="0" fillId="0" borderId="31" xfId="0" applyBorder="1"/>
    <xf numFmtId="0" fontId="0" fillId="0" borderId="37" xfId="0" applyBorder="1"/>
    <xf numFmtId="0" fontId="0" fillId="22" borderId="0" xfId="0" applyFill="1"/>
    <xf numFmtId="0" fontId="0" fillId="0" borderId="49" xfId="0" applyBorder="1"/>
    <xf numFmtId="2" fontId="2" fillId="22" borderId="0" xfId="0" applyNumberFormat="1" applyFont="1" applyFill="1"/>
    <xf numFmtId="0" fontId="0" fillId="0" borderId="38" xfId="0" applyBorder="1"/>
    <xf numFmtId="10" fontId="0" fillId="13" borderId="16" xfId="2" applyNumberFormat="1" applyFont="1" applyFill="1" applyBorder="1"/>
    <xf numFmtId="2" fontId="0" fillId="0" borderId="16" xfId="0" applyNumberFormat="1" applyBorder="1"/>
    <xf numFmtId="0" fontId="2" fillId="7" borderId="16" xfId="0" applyFont="1" applyFill="1" applyBorder="1"/>
    <xf numFmtId="2" fontId="0" fillId="22" borderId="16" xfId="0" applyNumberFormat="1" applyFill="1" applyBorder="1"/>
    <xf numFmtId="2" fontId="0" fillId="0" borderId="39" xfId="0" applyNumberFormat="1" applyBorder="1"/>
    <xf numFmtId="44" fontId="0" fillId="0" borderId="8" xfId="1" applyFont="1" applyFill="1" applyBorder="1" applyAlignment="1">
      <alignment vertical="center"/>
    </xf>
    <xf numFmtId="44" fontId="18" fillId="0" borderId="40" xfId="1" applyFont="1" applyFill="1" applyBorder="1" applyAlignment="1">
      <alignment horizontal="center" vertical="center" wrapText="1"/>
    </xf>
    <xf numFmtId="44" fontId="0" fillId="0" borderId="0" xfId="1" applyFont="1" applyFill="1"/>
    <xf numFmtId="44" fontId="18" fillId="20" borderId="17" xfId="1" applyFont="1" applyFill="1" applyBorder="1" applyAlignment="1">
      <alignment horizontal="center" vertical="center" wrapText="1"/>
    </xf>
    <xf numFmtId="44" fontId="0" fillId="20" borderId="1" xfId="1" applyFont="1" applyFill="1" applyBorder="1"/>
    <xf numFmtId="44" fontId="0" fillId="20" borderId="18" xfId="1" applyFont="1" applyFill="1" applyBorder="1"/>
    <xf numFmtId="0" fontId="9" fillId="6" borderId="29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2" fillId="8" borderId="29" xfId="0" applyFont="1" applyFill="1" applyBorder="1" applyAlignment="1">
      <alignment horizontal="center" vertical="center"/>
    </xf>
    <xf numFmtId="0" fontId="2" fillId="8" borderId="4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44" fontId="2" fillId="5" borderId="59" xfId="0" applyNumberFormat="1" applyFont="1" applyFill="1" applyBorder="1" applyAlignment="1">
      <alignment horizontal="center" vertical="center"/>
    </xf>
    <xf numFmtId="44" fontId="2" fillId="5" borderId="13" xfId="0" applyNumberFormat="1" applyFont="1" applyFill="1" applyBorder="1" applyAlignment="1">
      <alignment horizontal="center" vertical="center"/>
    </xf>
    <xf numFmtId="44" fontId="2" fillId="5" borderId="14" xfId="0" applyNumberFormat="1" applyFont="1" applyFill="1" applyBorder="1" applyAlignment="1">
      <alignment horizontal="center" vertical="center"/>
    </xf>
    <xf numFmtId="44" fontId="2" fillId="4" borderId="17" xfId="0" applyNumberFormat="1" applyFont="1" applyFill="1" applyBorder="1" applyAlignment="1">
      <alignment horizontal="center" vertical="center"/>
    </xf>
    <xf numFmtId="44" fontId="2" fillId="4" borderId="40" xfId="0" applyNumberFormat="1" applyFont="1" applyFill="1" applyBorder="1" applyAlignment="1">
      <alignment horizontal="center" vertical="center"/>
    </xf>
    <xf numFmtId="44" fontId="2" fillId="4" borderId="18" xfId="0" applyNumberFormat="1" applyFont="1" applyFill="1" applyBorder="1" applyAlignment="1">
      <alignment horizontal="center" vertical="center"/>
    </xf>
    <xf numFmtId="44" fontId="2" fillId="5" borderId="23" xfId="0" applyNumberFormat="1" applyFont="1" applyFill="1" applyBorder="1" applyAlignment="1">
      <alignment vertical="center"/>
    </xf>
    <xf numFmtId="44" fontId="2" fillId="5" borderId="24" xfId="0" applyNumberFormat="1" applyFont="1" applyFill="1" applyBorder="1" applyAlignment="1">
      <alignment vertical="center"/>
    </xf>
    <xf numFmtId="44" fontId="2" fillId="5" borderId="53" xfId="0" applyNumberFormat="1" applyFont="1" applyFill="1" applyBorder="1" applyAlignment="1">
      <alignment vertic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53" xfId="0" applyFont="1" applyFill="1" applyBorder="1" applyAlignment="1">
      <alignment horizontal="center" vertical="center" wrapText="1"/>
    </xf>
    <xf numFmtId="44" fontId="2" fillId="5" borderId="17" xfId="0" applyNumberFormat="1" applyFont="1" applyFill="1" applyBorder="1" applyAlignment="1">
      <alignment vertical="center"/>
    </xf>
    <xf numFmtId="44" fontId="2" fillId="5" borderId="40" xfId="0" applyNumberFormat="1" applyFont="1" applyFill="1" applyBorder="1" applyAlignment="1">
      <alignment vertical="center"/>
    </xf>
    <xf numFmtId="44" fontId="2" fillId="5" borderId="18" xfId="0" applyNumberFormat="1" applyFont="1" applyFill="1" applyBorder="1" applyAlignment="1">
      <alignment vertical="center"/>
    </xf>
    <xf numFmtId="44" fontId="2" fillId="5" borderId="17" xfId="0" applyNumberFormat="1" applyFont="1" applyFill="1" applyBorder="1" applyAlignment="1">
      <alignment horizontal="center" vertical="center"/>
    </xf>
    <xf numFmtId="44" fontId="2" fillId="5" borderId="40" xfId="0" applyNumberFormat="1" applyFont="1" applyFill="1" applyBorder="1" applyAlignment="1">
      <alignment horizontal="center" vertical="center"/>
    </xf>
    <xf numFmtId="44" fontId="2" fillId="5" borderId="18" xfId="0" applyNumberFormat="1" applyFont="1" applyFill="1" applyBorder="1" applyAlignment="1">
      <alignment horizontal="center" vertical="center"/>
    </xf>
    <xf numFmtId="44" fontId="2" fillId="4" borderId="23" xfId="0" applyNumberFormat="1" applyFont="1" applyFill="1" applyBorder="1" applyAlignment="1">
      <alignment vertical="center"/>
    </xf>
    <xf numFmtId="44" fontId="2" fillId="4" borderId="24" xfId="0" applyNumberFormat="1" applyFont="1" applyFill="1" applyBorder="1" applyAlignment="1">
      <alignment vertical="center"/>
    </xf>
    <xf numFmtId="44" fontId="2" fillId="4" borderId="53" xfId="0" applyNumberFormat="1" applyFont="1" applyFill="1" applyBorder="1" applyAlignment="1">
      <alignment vertical="center"/>
    </xf>
    <xf numFmtId="44" fontId="2" fillId="4" borderId="17" xfId="0" applyNumberFormat="1" applyFont="1" applyFill="1" applyBorder="1" applyAlignment="1">
      <alignment vertical="center"/>
    </xf>
    <xf numFmtId="44" fontId="2" fillId="4" borderId="40" xfId="0" applyNumberFormat="1" applyFont="1" applyFill="1" applyBorder="1" applyAlignment="1">
      <alignment vertical="center"/>
    </xf>
    <xf numFmtId="44" fontId="2" fillId="4" borderId="18" xfId="0" applyNumberFormat="1" applyFont="1" applyFill="1" applyBorder="1" applyAlignment="1">
      <alignment vertical="center"/>
    </xf>
    <xf numFmtId="0" fontId="0" fillId="0" borderId="35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1" xfId="0" applyBorder="1" applyAlignment="1">
      <alignment horizontal="center"/>
    </xf>
  </cellXfs>
  <cellStyles count="37">
    <cellStyle name="Hiperlink" xfId="19" builtinId="8" hidden="1"/>
    <cellStyle name="Hiperlink" xfId="7" builtinId="8" hidden="1"/>
    <cellStyle name="Hiperlink" xfId="5" builtinId="8" hidden="1"/>
    <cellStyle name="Hiperlink" xfId="3" builtinId="8" hidden="1"/>
    <cellStyle name="Hiperlink" xfId="9" builtinId="8" hidden="1"/>
    <cellStyle name="Hiperlink" xfId="27" builtinId="8" hidden="1"/>
    <cellStyle name="Hiperlink" xfId="11" builtinId="8" hidden="1"/>
    <cellStyle name="Hiperlink" xfId="13" builtinId="8" hidden="1"/>
    <cellStyle name="Hiperlink" xfId="15" builtinId="8" hidden="1"/>
    <cellStyle name="Hiperlink" xfId="21" builtinId="8" hidden="1"/>
    <cellStyle name="Hiperlink" xfId="17" builtinId="8" hidden="1"/>
    <cellStyle name="Hiperlink" xfId="29" builtinId="8" hidden="1"/>
    <cellStyle name="Hiperlink" xfId="31" builtinId="8" hidden="1"/>
    <cellStyle name="Hiperlink" xfId="25" builtinId="8" hidden="1"/>
    <cellStyle name="Hiperlink" xfId="23" builtinId="8" hidden="1"/>
    <cellStyle name="Hiperlink Visitado" xfId="30" builtinId="9" hidden="1"/>
    <cellStyle name="Hiperlink Visitado" xfId="32" builtinId="9" hidden="1"/>
    <cellStyle name="Hiperlink Visitado" xfId="22" builtinId="9" hidden="1"/>
    <cellStyle name="Hiperlink Visitado" xfId="12" builtinId="9" hidden="1"/>
    <cellStyle name="Hiperlink Visitado" xfId="14" builtinId="9" hidden="1"/>
    <cellStyle name="Hiperlink Visitado" xfId="6" builtinId="9" hidden="1"/>
    <cellStyle name="Hiperlink Visitado" xfId="8" builtinId="9" hidden="1"/>
    <cellStyle name="Hiperlink Visitado" xfId="4" builtinId="9" hidden="1"/>
    <cellStyle name="Hiperlink Visitado" xfId="10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18" builtinId="9" hidden="1"/>
    <cellStyle name="Hiperlink Visitado" xfId="20" builtinId="9" hidden="1"/>
    <cellStyle name="Hiperlink Visitado" xfId="16" builtinId="9" hidden="1"/>
    <cellStyle name="Moeda" xfId="1" builtinId="4"/>
    <cellStyle name="Moeda 2" xfId="33" xr:uid="{00000000-0005-0000-0000-00001F000000}"/>
    <cellStyle name="Moeda 2 2" xfId="36" xr:uid="{00000000-0005-0000-0000-000020000000}"/>
    <cellStyle name="Moeda 3" xfId="35" xr:uid="{00000000-0005-0000-0000-000021000000}"/>
    <cellStyle name="Normal" xfId="0" builtinId="0"/>
    <cellStyle name="Normal 2" xfId="34" xr:uid="{00000000-0005-0000-0000-000023000000}"/>
    <cellStyle name="Porcentagem" xfId="2" builtinId="5"/>
  </cellStyles>
  <dxfs count="8"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FFCCCC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o Cesar Ferreira da Silva" id="{4072F547-8970-4068-9042-09E27BCA37B2}" userId="S::paulo.silva@pg.df.gov.br::462643f6-8ab4-42c9-896d-18ebc3df7b78" providerId="AD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3" dT="2022-12-20T18:26:01.17" personId="{4072F547-8970-4068-9042-09E27BCA37B2}" id="{F4A25FDA-447C-4B0E-9FEB-ECE32AA3A6B4}">
    <text>Valor com dedução das PAs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25"/>
  <sheetViews>
    <sheetView tabSelected="1" workbookViewId="0">
      <pane xSplit="2" topLeftCell="C1" activePane="topRight" state="frozen"/>
      <selection pane="topRight" activeCell="F15" sqref="F15"/>
    </sheetView>
  </sheetViews>
  <sheetFormatPr defaultRowHeight="15" x14ac:dyDescent="0.25"/>
  <cols>
    <col min="1" max="1" width="14.7109375" style="1" customWidth="1"/>
    <col min="2" max="2" width="20.85546875" bestFit="1" customWidth="1"/>
    <col min="3" max="3" width="36.140625" style="3" bestFit="1" customWidth="1"/>
    <col min="4" max="4" width="24.7109375" style="3" customWidth="1"/>
    <col min="5" max="5" width="23.42578125" style="221" customWidth="1"/>
    <col min="6" max="6" width="17.5703125" style="3" customWidth="1"/>
    <col min="7" max="30" width="20.28515625" style="3" customWidth="1"/>
    <col min="31" max="31" width="20.140625" style="3" customWidth="1"/>
    <col min="32" max="32" width="15.85546875" bestFit="1" customWidth="1"/>
    <col min="36" max="36" width="15.85546875" customWidth="1"/>
  </cols>
  <sheetData>
    <row r="1" spans="1:36" ht="38.25" thickBot="1" x14ac:dyDescent="0.35">
      <c r="A1" s="193" t="s">
        <v>13</v>
      </c>
      <c r="B1" s="135" t="s">
        <v>63</v>
      </c>
      <c r="C1" s="147" t="s">
        <v>117</v>
      </c>
      <c r="D1" s="147" t="s">
        <v>77</v>
      </c>
      <c r="E1" s="222" t="s">
        <v>82</v>
      </c>
      <c r="F1" s="142" t="s">
        <v>64</v>
      </c>
      <c r="G1" s="142" t="s">
        <v>65</v>
      </c>
      <c r="H1" s="142" t="s">
        <v>66</v>
      </c>
      <c r="I1" s="142" t="s">
        <v>78</v>
      </c>
      <c r="J1" s="142" t="s">
        <v>67</v>
      </c>
      <c r="K1" s="142" t="s">
        <v>79</v>
      </c>
      <c r="L1" s="142" t="s">
        <v>68</v>
      </c>
      <c r="M1" s="142" t="s">
        <v>80</v>
      </c>
      <c r="N1" s="142" t="s">
        <v>69</v>
      </c>
      <c r="O1" s="142" t="s">
        <v>81</v>
      </c>
      <c r="P1" s="142" t="s">
        <v>70</v>
      </c>
      <c r="Q1" s="142" t="s">
        <v>84</v>
      </c>
      <c r="R1" s="142" t="s">
        <v>71</v>
      </c>
      <c r="S1" s="142" t="s">
        <v>85</v>
      </c>
      <c r="T1" s="142" t="s">
        <v>72</v>
      </c>
      <c r="U1" s="142" t="s">
        <v>86</v>
      </c>
      <c r="V1" s="142" t="s">
        <v>73</v>
      </c>
      <c r="W1" s="142" t="s">
        <v>87</v>
      </c>
      <c r="X1" s="142" t="s">
        <v>74</v>
      </c>
      <c r="Y1" s="142" t="s">
        <v>88</v>
      </c>
      <c r="Z1" s="142" t="s">
        <v>75</v>
      </c>
      <c r="AA1" s="142" t="s">
        <v>89</v>
      </c>
      <c r="AB1" s="142" t="s">
        <v>90</v>
      </c>
      <c r="AC1" s="142" t="s">
        <v>76</v>
      </c>
      <c r="AD1" s="142" t="s">
        <v>91</v>
      </c>
      <c r="AE1" s="136" t="s">
        <v>118</v>
      </c>
      <c r="AF1" s="220"/>
    </row>
    <row r="2" spans="1:36" x14ac:dyDescent="0.25">
      <c r="A2" s="1" t="s">
        <v>143</v>
      </c>
      <c r="B2" s="85" t="s">
        <v>138</v>
      </c>
      <c r="C2" s="100">
        <v>175376.01300000006</v>
      </c>
      <c r="D2" s="100">
        <v>3437.2000000000003</v>
      </c>
      <c r="E2" s="223"/>
      <c r="F2" s="100"/>
      <c r="G2" s="100">
        <v>-2147.8200000000102</v>
      </c>
      <c r="H2" s="100">
        <v>574.98000000000047</v>
      </c>
      <c r="I2" s="100"/>
      <c r="J2" s="118"/>
      <c r="K2" s="122">
        <v>-1254.2200000000012</v>
      </c>
      <c r="L2" s="100"/>
      <c r="M2" s="100">
        <v>-2829.109999999986</v>
      </c>
      <c r="N2" s="118"/>
      <c r="O2" s="167">
        <v>-2228.3099999999977</v>
      </c>
      <c r="P2" s="110">
        <v>0</v>
      </c>
      <c r="Q2" s="100">
        <v>-779.91000000000349</v>
      </c>
      <c r="R2" s="100"/>
      <c r="S2" s="100"/>
      <c r="T2" s="100"/>
      <c r="U2" s="100"/>
      <c r="V2" s="100"/>
      <c r="W2" s="100"/>
      <c r="X2" s="167"/>
      <c r="Y2" s="100"/>
      <c r="Z2" s="118"/>
      <c r="AA2" s="100"/>
      <c r="AB2" s="100"/>
      <c r="AC2" s="118"/>
      <c r="AD2" s="100"/>
      <c r="AE2" s="100">
        <f t="shared" ref="AE2:AE5" si="0">C2+D2+E2+F2+G2+H2+I2+J2+K2+L2+M2+N2+O2+P2+Q2+R2+S2+T2+U2+V2+W2+X2+Y2+Z2+AA2+AB2+AC2+AD2</f>
        <v>170148.82300000009</v>
      </c>
      <c r="AF2" s="51"/>
    </row>
    <row r="3" spans="1:36" x14ac:dyDescent="0.25">
      <c r="A3" s="1" t="s">
        <v>144</v>
      </c>
      <c r="B3" s="80" t="s">
        <v>139</v>
      </c>
      <c r="C3" s="100">
        <v>0</v>
      </c>
      <c r="D3" s="100">
        <v>0</v>
      </c>
      <c r="E3" s="223"/>
      <c r="F3" s="100">
        <v>0</v>
      </c>
      <c r="G3" s="100"/>
      <c r="H3" s="100">
        <v>0</v>
      </c>
      <c r="I3" s="100"/>
      <c r="J3" s="100">
        <v>0</v>
      </c>
      <c r="K3" s="122"/>
      <c r="L3" s="100">
        <v>0</v>
      </c>
      <c r="M3" s="100"/>
      <c r="N3" s="3">
        <v>0</v>
      </c>
      <c r="O3" s="100"/>
      <c r="P3" s="110">
        <v>0</v>
      </c>
      <c r="Q3" s="100">
        <v>0</v>
      </c>
      <c r="R3" s="100"/>
      <c r="S3" s="100"/>
      <c r="T3" s="100"/>
      <c r="U3" s="100"/>
      <c r="V3" s="100"/>
      <c r="W3" s="100"/>
      <c r="X3" s="118"/>
      <c r="Y3" s="100"/>
      <c r="Z3" s="100"/>
      <c r="AA3" s="100"/>
      <c r="AB3" s="100"/>
      <c r="AC3" s="100"/>
      <c r="AD3" s="100"/>
      <c r="AE3" s="100">
        <f t="shared" si="0"/>
        <v>0</v>
      </c>
      <c r="AF3" s="51"/>
    </row>
    <row r="4" spans="1:36" x14ac:dyDescent="0.25">
      <c r="A4" s="1" t="s">
        <v>145</v>
      </c>
      <c r="B4" s="85" t="s">
        <v>140</v>
      </c>
      <c r="C4" s="100">
        <v>0</v>
      </c>
      <c r="D4" s="100">
        <v>0</v>
      </c>
      <c r="E4" s="223"/>
      <c r="F4" s="100">
        <v>0</v>
      </c>
      <c r="G4" s="100"/>
      <c r="H4" s="100">
        <v>0</v>
      </c>
      <c r="I4" s="100"/>
      <c r="J4" s="100">
        <v>0</v>
      </c>
      <c r="K4" s="122"/>
      <c r="L4" s="100">
        <v>0</v>
      </c>
      <c r="M4" s="100"/>
      <c r="N4" s="167">
        <v>0</v>
      </c>
      <c r="O4" s="100"/>
      <c r="P4" s="110">
        <v>0</v>
      </c>
      <c r="Q4" s="100">
        <v>0</v>
      </c>
      <c r="R4" s="100"/>
      <c r="S4" s="100"/>
      <c r="T4" s="100"/>
      <c r="U4" s="100"/>
      <c r="V4" s="100"/>
      <c r="W4" s="100"/>
      <c r="X4" s="167"/>
      <c r="Y4" s="100"/>
      <c r="Z4" s="100"/>
      <c r="AA4" s="100"/>
      <c r="AB4" s="100"/>
      <c r="AC4" s="100"/>
      <c r="AD4" s="100"/>
      <c r="AE4" s="100">
        <f t="shared" si="0"/>
        <v>0</v>
      </c>
      <c r="AF4" s="51"/>
    </row>
    <row r="5" spans="1:36" x14ac:dyDescent="0.25">
      <c r="A5" s="1" t="s">
        <v>146</v>
      </c>
      <c r="B5" s="80" t="s">
        <v>141</v>
      </c>
      <c r="C5" s="100">
        <v>0</v>
      </c>
      <c r="D5" s="100">
        <v>2716.0599999999936</v>
      </c>
      <c r="E5" s="223"/>
      <c r="F5" s="100"/>
      <c r="G5" s="100">
        <v>-295.39000000000033</v>
      </c>
      <c r="H5" s="100">
        <f>5211.6-2784.19</f>
        <v>2427.4100000000003</v>
      </c>
      <c r="I5" s="100"/>
      <c r="J5" s="100">
        <v>598.21</v>
      </c>
      <c r="K5" s="122"/>
      <c r="L5" s="100"/>
      <c r="M5" s="100">
        <v>-5446.2899999999936</v>
      </c>
      <c r="N5" s="118">
        <v>0</v>
      </c>
      <c r="O5" s="100"/>
      <c r="P5" s="110">
        <v>0</v>
      </c>
      <c r="Q5" s="100">
        <v>0</v>
      </c>
      <c r="R5" s="100"/>
      <c r="S5" s="100"/>
      <c r="T5" s="100"/>
      <c r="U5" s="100"/>
      <c r="V5" s="100"/>
      <c r="W5" s="100"/>
      <c r="X5" s="118"/>
      <c r="Y5" s="100"/>
      <c r="Z5" s="100"/>
      <c r="AA5" s="100"/>
      <c r="AB5" s="100"/>
      <c r="AC5" s="100"/>
      <c r="AD5" s="100"/>
      <c r="AE5" s="100">
        <f t="shared" si="0"/>
        <v>0</v>
      </c>
      <c r="AF5" s="51"/>
    </row>
    <row r="6" spans="1:36" ht="15.75" thickBot="1" x14ac:dyDescent="0.3">
      <c r="A6" s="1" t="s">
        <v>147</v>
      </c>
      <c r="B6" s="137" t="s">
        <v>142</v>
      </c>
      <c r="C6" s="100">
        <v>119.43449999999996</v>
      </c>
      <c r="D6" s="100">
        <v>3437.2000000000003</v>
      </c>
      <c r="E6" s="223"/>
      <c r="F6" s="100">
        <v>1739.0234999999971</v>
      </c>
      <c r="G6" s="100"/>
      <c r="H6" s="100">
        <v>4461.8234999999968</v>
      </c>
      <c r="I6" s="100"/>
      <c r="J6" s="100">
        <v>2632.6235000000033</v>
      </c>
      <c r="K6" s="122"/>
      <c r="L6" s="100"/>
      <c r="M6" s="100">
        <v>-4024.25</v>
      </c>
      <c r="O6" s="118">
        <v>-3423.45</v>
      </c>
      <c r="P6" s="110">
        <v>0</v>
      </c>
      <c r="Q6" s="100">
        <v>-2027.6334999999972</v>
      </c>
      <c r="R6" s="100"/>
      <c r="S6" s="100"/>
      <c r="T6" s="100"/>
      <c r="U6" s="100"/>
      <c r="V6" s="100"/>
      <c r="W6" s="100"/>
      <c r="X6" s="118"/>
      <c r="Y6" s="100"/>
      <c r="Z6" s="118"/>
      <c r="AA6" s="100"/>
      <c r="AB6" s="100"/>
      <c r="AC6" s="100"/>
      <c r="AD6" s="100"/>
      <c r="AE6" s="100">
        <f>C6+D6+E6+F6+G6+H6+I6+J6+K6+L6+M6+N6+O6+P6+Q6+R6+S6+T6+U6+V6+W6+X6+Y6+Z6+AA6+AB6+AC6+AD6</f>
        <v>2914.7715000000007</v>
      </c>
      <c r="AF6" s="51"/>
    </row>
    <row r="7" spans="1:36" ht="15.75" thickBot="1" x14ac:dyDescent="0.3">
      <c r="B7" s="139" t="s">
        <v>29</v>
      </c>
      <c r="C7" s="148">
        <f t="shared" ref="C7:AE7" si="1">SUM(C2:C6)</f>
        <v>175495.44750000007</v>
      </c>
      <c r="D7" s="149">
        <f t="shared" si="1"/>
        <v>9590.4599999999937</v>
      </c>
      <c r="E7" s="224">
        <f t="shared" si="1"/>
        <v>0</v>
      </c>
      <c r="F7" s="149">
        <f t="shared" si="1"/>
        <v>1739.0234999999971</v>
      </c>
      <c r="G7" s="149">
        <f t="shared" si="1"/>
        <v>-2443.2100000000105</v>
      </c>
      <c r="H7" s="149">
        <f t="shared" si="1"/>
        <v>7464.213499999998</v>
      </c>
      <c r="I7" s="143">
        <f t="shared" si="1"/>
        <v>0</v>
      </c>
      <c r="J7" s="146">
        <f t="shared" si="1"/>
        <v>3230.8335000000034</v>
      </c>
      <c r="K7" s="143">
        <f t="shared" si="1"/>
        <v>-1254.2200000000012</v>
      </c>
      <c r="L7" s="146">
        <f t="shared" si="1"/>
        <v>0</v>
      </c>
      <c r="M7" s="143">
        <f t="shared" si="1"/>
        <v>-12299.64999999998</v>
      </c>
      <c r="N7" s="146">
        <f t="shared" si="1"/>
        <v>0</v>
      </c>
      <c r="O7" s="143">
        <f t="shared" si="1"/>
        <v>-5651.7599999999975</v>
      </c>
      <c r="P7" s="146">
        <f t="shared" si="1"/>
        <v>0</v>
      </c>
      <c r="Q7" s="143">
        <f t="shared" si="1"/>
        <v>-2807.5435000000007</v>
      </c>
      <c r="R7" s="146">
        <f t="shared" si="1"/>
        <v>0</v>
      </c>
      <c r="S7" s="143">
        <f t="shared" si="1"/>
        <v>0</v>
      </c>
      <c r="T7" s="146">
        <f t="shared" si="1"/>
        <v>0</v>
      </c>
      <c r="U7" s="143">
        <f t="shared" si="1"/>
        <v>0</v>
      </c>
      <c r="V7" s="146">
        <f t="shared" si="1"/>
        <v>0</v>
      </c>
      <c r="W7" s="143">
        <f t="shared" si="1"/>
        <v>0</v>
      </c>
      <c r="X7" s="146">
        <f t="shared" si="1"/>
        <v>0</v>
      </c>
      <c r="Y7" s="143">
        <f t="shared" si="1"/>
        <v>0</v>
      </c>
      <c r="Z7" s="146">
        <f t="shared" si="1"/>
        <v>0</v>
      </c>
      <c r="AA7" s="143">
        <f t="shared" si="1"/>
        <v>0</v>
      </c>
      <c r="AB7" s="143">
        <f t="shared" si="1"/>
        <v>0</v>
      </c>
      <c r="AC7" s="146">
        <f t="shared" si="1"/>
        <v>0</v>
      </c>
      <c r="AD7" s="143">
        <f t="shared" si="1"/>
        <v>0</v>
      </c>
      <c r="AE7" s="100">
        <f t="shared" si="1"/>
        <v>173063.59450000009</v>
      </c>
    </row>
    <row r="8" spans="1:36" x14ac:dyDescent="0.25">
      <c r="B8" s="64"/>
      <c r="C8" s="118"/>
      <c r="D8" s="118"/>
      <c r="E8" s="168"/>
      <c r="F8" s="118"/>
      <c r="G8" s="118"/>
      <c r="H8" s="118"/>
      <c r="I8" s="118"/>
      <c r="J8" s="118"/>
      <c r="K8" s="118"/>
      <c r="L8" s="118"/>
      <c r="M8" s="118"/>
      <c r="N8" s="118"/>
      <c r="O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</row>
    <row r="9" spans="1:36" x14ac:dyDescent="0.25">
      <c r="C9" s="118"/>
      <c r="D9" s="118"/>
      <c r="E9" s="168"/>
      <c r="F9" s="118"/>
      <c r="G9" s="118"/>
      <c r="H9" s="118"/>
      <c r="I9" s="118"/>
      <c r="J9" s="118"/>
      <c r="K9" s="118"/>
      <c r="L9" s="118"/>
      <c r="M9" s="118"/>
      <c r="O9" s="118"/>
      <c r="Q9" s="118"/>
      <c r="R9" s="118"/>
      <c r="S9" s="118"/>
      <c r="T9" s="118"/>
      <c r="U9" s="118"/>
      <c r="V9" s="118"/>
      <c r="W9" s="118"/>
      <c r="X9" s="118"/>
      <c r="Y9" s="118"/>
      <c r="AA9" s="118"/>
      <c r="AB9" s="118"/>
      <c r="AC9" s="118"/>
      <c r="AD9" s="118"/>
      <c r="AE9" s="118"/>
      <c r="AF9" s="102"/>
      <c r="AJ9" s="51"/>
    </row>
    <row r="10" spans="1:36" x14ac:dyDescent="0.25">
      <c r="B10" s="1"/>
      <c r="C10" s="1"/>
      <c r="D10" s="1"/>
      <c r="E10" s="1"/>
      <c r="F10" s="1"/>
      <c r="G10" s="1"/>
      <c r="H10" s="1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</row>
    <row r="11" spans="1:36" x14ac:dyDescent="0.25">
      <c r="B11" s="1"/>
      <c r="C11" s="1"/>
      <c r="D11" s="1"/>
      <c r="E11" s="1"/>
      <c r="F11" s="1"/>
      <c r="G11" s="1"/>
      <c r="H11" s="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18"/>
      <c r="AF11" s="51"/>
    </row>
    <row r="12" spans="1:36" x14ac:dyDescent="0.25">
      <c r="B12" s="1"/>
      <c r="C12" s="1"/>
      <c r="D12" s="1"/>
      <c r="E12" s="1"/>
      <c r="F12" s="1"/>
      <c r="G12" s="1"/>
      <c r="H12" s="1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51"/>
    </row>
    <row r="13" spans="1:36" x14ac:dyDescent="0.25">
      <c r="B13" s="1"/>
      <c r="C13" s="1"/>
      <c r="D13" s="1"/>
      <c r="E13" s="1"/>
      <c r="F13" s="1"/>
      <c r="G13" s="1"/>
      <c r="H13" s="1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</row>
    <row r="14" spans="1:36" x14ac:dyDescent="0.25">
      <c r="B14" s="1"/>
      <c r="C14" s="1"/>
      <c r="D14" s="1"/>
      <c r="E14" s="1"/>
      <c r="F14" s="1"/>
      <c r="G14" s="1"/>
      <c r="H14" s="1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51"/>
    </row>
    <row r="15" spans="1:36" x14ac:dyDescent="0.25">
      <c r="B15" s="1"/>
      <c r="C15" s="1"/>
      <c r="D15" s="1"/>
      <c r="E15" s="1"/>
      <c r="F15" s="1"/>
      <c r="G15" s="1"/>
      <c r="H15" s="1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</row>
    <row r="16" spans="1:36" x14ac:dyDescent="0.25">
      <c r="B16" s="1"/>
      <c r="C16" s="1"/>
      <c r="D16" s="1"/>
      <c r="E16" s="1"/>
      <c r="F16" s="1"/>
      <c r="G16" s="1"/>
      <c r="H16" s="1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</row>
    <row r="17" spans="2:31" x14ac:dyDescent="0.25">
      <c r="B17" s="1"/>
      <c r="C17" s="1"/>
      <c r="D17" s="1"/>
      <c r="E17" s="1"/>
      <c r="F17" s="1"/>
      <c r="G17" s="1"/>
      <c r="H17" s="1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</row>
    <row r="18" spans="2:31" x14ac:dyDescent="0.25">
      <c r="B18" s="1"/>
      <c r="C18" s="1"/>
      <c r="D18" s="1"/>
      <c r="E18" s="1"/>
      <c r="F18" s="1"/>
      <c r="G18" s="1"/>
      <c r="H18" s="1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</row>
    <row r="19" spans="2:31" x14ac:dyDescent="0.25">
      <c r="B19" s="1"/>
      <c r="C19" s="1"/>
      <c r="D19" s="1"/>
      <c r="E19" s="1"/>
      <c r="F19" s="1"/>
      <c r="G19" s="1"/>
      <c r="H19" s="1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</row>
    <row r="20" spans="2:31" x14ac:dyDescent="0.25">
      <c r="B20" s="1"/>
      <c r="C20" s="1"/>
      <c r="D20" s="1"/>
      <c r="E20" s="1"/>
      <c r="F20" s="1"/>
      <c r="G20" s="1"/>
      <c r="H20" s="1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</row>
    <row r="21" spans="2:31" x14ac:dyDescent="0.25">
      <c r="B21" s="1"/>
      <c r="C21" s="1"/>
      <c r="D21" s="1"/>
      <c r="E21" s="1"/>
      <c r="F21" s="1"/>
      <c r="G21" s="1"/>
      <c r="H21" s="1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</row>
    <row r="22" spans="2:31" x14ac:dyDescent="0.25">
      <c r="B22" s="1"/>
      <c r="C22" s="1"/>
      <c r="D22" s="1"/>
      <c r="E22" s="1"/>
      <c r="F22" s="1"/>
      <c r="G22" s="1"/>
      <c r="H22" s="1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</row>
    <row r="23" spans="2:31" x14ac:dyDescent="0.25">
      <c r="B23" s="1"/>
      <c r="C23" s="1"/>
      <c r="D23" s="1"/>
      <c r="E23" s="1"/>
      <c r="F23" s="1"/>
      <c r="G23" s="1"/>
      <c r="H23" s="1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</row>
    <row r="24" spans="2:31" x14ac:dyDescent="0.25">
      <c r="B24" s="1"/>
      <c r="C24" s="1"/>
      <c r="D24" s="1"/>
      <c r="E24" s="1"/>
      <c r="F24" s="1"/>
      <c r="G24" s="1"/>
      <c r="H24" s="1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</row>
    <row r="25" spans="2:31" x14ac:dyDescent="0.25">
      <c r="B25" s="1"/>
      <c r="C25" s="1"/>
      <c r="D25" s="1"/>
      <c r="E25" s="1"/>
      <c r="F25" s="1"/>
      <c r="G25" s="1"/>
      <c r="H25" s="1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</row>
  </sheetData>
  <autoFilter ref="A1:AF25" xr:uid="{00000000-0009-0000-0000-000007000000}"/>
  <phoneticPr fontId="6" type="noConversion"/>
  <conditionalFormatting sqref="P2:P6">
    <cfRule type="cellIs" dxfId="7" priority="1" operator="greaterThan">
      <formula>0</formula>
    </cfRule>
    <cfRule type="cellIs" dxfId="6" priority="4" operator="lessThan">
      <formula>0</formula>
    </cfRule>
  </conditionalFormatting>
  <conditionalFormatting sqref="Q2:Q6">
    <cfRule type="cellIs" dxfId="5" priority="2" operator="lessThan">
      <formula>0</formula>
    </cfRule>
  </conditionalFormatting>
  <conditionalFormatting sqref="R1:R1048576 T1:T1048576">
    <cfRule type="cellIs" dxfId="4" priority="3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17"/>
  <sheetViews>
    <sheetView zoomScale="80" zoomScaleNormal="80" workbookViewId="0">
      <selection activeCell="D3" sqref="D3"/>
    </sheetView>
  </sheetViews>
  <sheetFormatPr defaultRowHeight="15" x14ac:dyDescent="0.25"/>
  <cols>
    <col min="1" max="1" width="11.7109375" customWidth="1"/>
    <col min="2" max="2" width="22.42578125" bestFit="1" customWidth="1"/>
    <col min="3" max="3" width="18.140625" bestFit="1" customWidth="1"/>
    <col min="4" max="4" width="22.42578125" bestFit="1" customWidth="1"/>
    <col min="5" max="5" width="21.85546875" bestFit="1" customWidth="1"/>
    <col min="6" max="6" width="2.42578125" customWidth="1"/>
    <col min="7" max="7" width="22.28515625" customWidth="1"/>
    <col min="8" max="8" width="18.140625" bestFit="1" customWidth="1"/>
    <col min="9" max="9" width="22.42578125" bestFit="1" customWidth="1"/>
    <col min="10" max="10" width="18.85546875" bestFit="1" customWidth="1"/>
    <col min="11" max="11" width="1.85546875" customWidth="1"/>
  </cols>
  <sheetData>
    <row r="1" spans="2:10" ht="15.75" thickBot="1" x14ac:dyDescent="0.3"/>
    <row r="2" spans="2:10" ht="34.5" customHeight="1" thickBot="1" x14ac:dyDescent="0.3">
      <c r="B2" s="225" t="s">
        <v>38</v>
      </c>
      <c r="C2" s="226"/>
      <c r="D2" s="226"/>
      <c r="E2" s="227"/>
      <c r="G2" s="225" t="s">
        <v>39</v>
      </c>
      <c r="H2" s="226"/>
      <c r="I2" s="226"/>
      <c r="J2" s="227"/>
    </row>
    <row r="3" spans="2:10" ht="15.75" thickBot="1" x14ac:dyDescent="0.3">
      <c r="B3" s="161" t="s">
        <v>40</v>
      </c>
      <c r="C3" s="162" t="s">
        <v>134</v>
      </c>
      <c r="D3" s="163"/>
      <c r="E3" s="164"/>
      <c r="G3" s="161" t="s">
        <v>40</v>
      </c>
      <c r="H3" s="162" t="s">
        <v>134</v>
      </c>
      <c r="I3" s="163"/>
      <c r="J3" s="164"/>
    </row>
    <row r="4" spans="2:10" ht="35.25" customHeight="1" thickBot="1" x14ac:dyDescent="0.3">
      <c r="B4" s="159" t="s">
        <v>41</v>
      </c>
      <c r="C4" s="165" t="s">
        <v>42</v>
      </c>
      <c r="D4" s="166" t="s">
        <v>5</v>
      </c>
      <c r="E4" s="160" t="s">
        <v>6</v>
      </c>
      <c r="G4" s="159" t="s">
        <v>41</v>
      </c>
      <c r="H4" s="165" t="s">
        <v>42</v>
      </c>
      <c r="I4" s="166" t="s">
        <v>5</v>
      </c>
      <c r="J4" s="160" t="s">
        <v>6</v>
      </c>
    </row>
    <row r="5" spans="2:10" ht="24.95" customHeight="1" x14ac:dyDescent="0.25">
      <c r="B5" s="61">
        <v>0.4</v>
      </c>
      <c r="C5" s="153">
        <f>C8*0.4</f>
        <v>2854.4</v>
      </c>
      <c r="D5" s="53">
        <v>130</v>
      </c>
      <c r="E5" s="50">
        <f>C5*D5</f>
        <v>371072</v>
      </c>
      <c r="F5" s="51"/>
      <c r="G5" s="61">
        <v>0.4</v>
      </c>
      <c r="H5" s="52">
        <f>H8*0.4</f>
        <v>2774.8</v>
      </c>
      <c r="I5" s="53">
        <f>D5</f>
        <v>130</v>
      </c>
      <c r="J5" s="50">
        <f>H5*I5</f>
        <v>360724</v>
      </c>
    </row>
    <row r="6" spans="2:10" ht="24.95" customHeight="1" x14ac:dyDescent="0.25">
      <c r="B6" s="60">
        <v>0.6</v>
      </c>
      <c r="C6" s="48">
        <f>C8*0.6</f>
        <v>4281.5999999999995</v>
      </c>
      <c r="D6" s="49">
        <v>9</v>
      </c>
      <c r="E6" s="50">
        <f>C6*D6</f>
        <v>38534.399999999994</v>
      </c>
      <c r="F6" s="51"/>
      <c r="G6" s="60">
        <v>0.6</v>
      </c>
      <c r="H6" s="48">
        <f>H8*0.6</f>
        <v>4162.2</v>
      </c>
      <c r="I6" s="49">
        <f>D6</f>
        <v>9</v>
      </c>
      <c r="J6" s="50">
        <f>H6*I6</f>
        <v>37459.799999999996</v>
      </c>
    </row>
    <row r="7" spans="2:10" ht="24.95" customHeight="1" x14ac:dyDescent="0.25">
      <c r="B7" s="60">
        <v>0.8</v>
      </c>
      <c r="C7" s="48">
        <f>C8*0.8</f>
        <v>5708.8</v>
      </c>
      <c r="D7" s="49">
        <v>69</v>
      </c>
      <c r="E7" s="50">
        <f>C7*D7</f>
        <v>393907.20000000001</v>
      </c>
      <c r="F7" s="51"/>
      <c r="G7" s="60">
        <v>0.8</v>
      </c>
      <c r="H7" s="48">
        <f>H8*0.8</f>
        <v>5549.6</v>
      </c>
      <c r="I7" s="49">
        <f>D7</f>
        <v>69</v>
      </c>
      <c r="J7" s="50">
        <f>H7*I7</f>
        <v>382922.4</v>
      </c>
    </row>
    <row r="8" spans="2:10" ht="24.95" customHeight="1" thickBot="1" x14ac:dyDescent="0.3">
      <c r="B8" s="154">
        <v>1</v>
      </c>
      <c r="C8" s="219">
        <v>7136</v>
      </c>
      <c r="D8" s="156">
        <v>185</v>
      </c>
      <c r="E8" s="97">
        <f>C8*D8</f>
        <v>1320160</v>
      </c>
      <c r="F8" s="51"/>
      <c r="G8" s="154">
        <v>1</v>
      </c>
      <c r="H8" s="219">
        <v>6937</v>
      </c>
      <c r="I8" s="156">
        <f>D8</f>
        <v>185</v>
      </c>
      <c r="J8" s="97">
        <f>H8*I8</f>
        <v>1283345</v>
      </c>
    </row>
    <row r="9" spans="2:10" ht="24.95" customHeight="1" thickBot="1" x14ac:dyDescent="0.3">
      <c r="B9" s="228" t="s">
        <v>43</v>
      </c>
      <c r="C9" s="229"/>
      <c r="D9" s="78">
        <f>SUM(D5:D8)</f>
        <v>393</v>
      </c>
      <c r="E9" s="79">
        <f>SUM(E5:E8)</f>
        <v>2123673.6000000001</v>
      </c>
      <c r="F9" s="51"/>
      <c r="G9" s="228" t="s">
        <v>43</v>
      </c>
      <c r="H9" s="229"/>
      <c r="I9" s="78">
        <f>SUM(I5:I8)</f>
        <v>393</v>
      </c>
      <c r="J9" s="79">
        <f>SUM(J5:J8)</f>
        <v>2064451.2</v>
      </c>
    </row>
    <row r="10" spans="2:10" ht="24.95" customHeight="1" x14ac:dyDescent="0.25">
      <c r="B10" s="91"/>
      <c r="C10" s="92" t="s">
        <v>44</v>
      </c>
      <c r="D10" s="93" t="s">
        <v>134</v>
      </c>
      <c r="E10" s="94">
        <v>2123768.3199999998</v>
      </c>
      <c r="F10" s="51"/>
      <c r="G10" s="91"/>
      <c r="H10" s="92" t="s">
        <v>44</v>
      </c>
      <c r="I10" s="93" t="s">
        <v>134</v>
      </c>
      <c r="J10" s="94">
        <v>2064705.07</v>
      </c>
    </row>
    <row r="11" spans="2:10" ht="25.5" customHeight="1" thickBot="1" x14ac:dyDescent="0.3">
      <c r="B11" s="6"/>
      <c r="C11" s="95"/>
      <c r="D11" s="96" t="s">
        <v>45</v>
      </c>
      <c r="E11" s="200">
        <f>E10-E9</f>
        <v>94.71999999973923</v>
      </c>
      <c r="G11" s="6"/>
      <c r="H11" s="95"/>
      <c r="I11" s="96" t="s">
        <v>45</v>
      </c>
      <c r="J11" s="200">
        <f>J10-J9</f>
        <v>253.87000000011176</v>
      </c>
    </row>
    <row r="12" spans="2:10" ht="18.75" customHeight="1" x14ac:dyDescent="0.25"/>
    <row r="14" spans="2:10" ht="18.75" x14ac:dyDescent="0.3">
      <c r="B14" s="157" t="s">
        <v>46</v>
      </c>
      <c r="C14" s="158">
        <f>C5+H5</f>
        <v>5629.2000000000007</v>
      </c>
    </row>
    <row r="15" spans="2:10" ht="18.75" x14ac:dyDescent="0.3">
      <c r="B15" s="157" t="s">
        <v>47</v>
      </c>
      <c r="C15" s="158">
        <f>C6+H6</f>
        <v>8443.7999999999993</v>
      </c>
      <c r="D15" s="51"/>
    </row>
    <row r="16" spans="2:10" ht="18.75" x14ac:dyDescent="0.3">
      <c r="B16" s="157" t="s">
        <v>48</v>
      </c>
      <c r="C16" s="158">
        <f>C7+H7</f>
        <v>11258.400000000001</v>
      </c>
      <c r="D16" s="51"/>
    </row>
    <row r="17" spans="2:4" ht="18.75" x14ac:dyDescent="0.3">
      <c r="B17" s="157" t="s">
        <v>49</v>
      </c>
      <c r="C17" s="158">
        <f>C8+H8</f>
        <v>14073</v>
      </c>
      <c r="D17" s="51"/>
    </row>
  </sheetData>
  <mergeCells count="4">
    <mergeCell ref="B2:E2"/>
    <mergeCell ref="B9:C9"/>
    <mergeCell ref="G2:J2"/>
    <mergeCell ref="G9:H9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7"/>
  <sheetViews>
    <sheetView workbookViewId="0">
      <pane ySplit="1" topLeftCell="A13" activePane="bottomLeft" state="frozen"/>
      <selection pane="bottomLeft" activeCell="L1" sqref="L1"/>
    </sheetView>
  </sheetViews>
  <sheetFormatPr defaultColWidth="8.85546875" defaultRowHeight="15" x14ac:dyDescent="0.25"/>
  <cols>
    <col min="1" max="1" width="4.5703125" style="22" customWidth="1"/>
    <col min="2" max="2" width="17.85546875" style="32" customWidth="1"/>
    <col min="3" max="3" width="31.140625" style="22" bestFit="1" customWidth="1"/>
    <col min="4" max="4" width="16.85546875" style="22" bestFit="1" customWidth="1"/>
    <col min="5" max="5" width="14.28515625" style="22" bestFit="1" customWidth="1"/>
    <col min="6" max="6" width="14.28515625" style="22" customWidth="1"/>
    <col min="7" max="8" width="15.85546875" style="22" bestFit="1" customWidth="1"/>
    <col min="9" max="10" width="16.85546875" style="22" bestFit="1" customWidth="1"/>
    <col min="11" max="11" width="17.28515625" style="22" customWidth="1"/>
    <col min="12" max="12" width="14.28515625" style="22" customWidth="1"/>
    <col min="13" max="14" width="15.85546875" style="22" bestFit="1" customWidth="1"/>
    <col min="15" max="16384" width="8.85546875" style="22"/>
  </cols>
  <sheetData>
    <row r="1" spans="2:12" ht="34.5" customHeight="1" thickBot="1" x14ac:dyDescent="0.3">
      <c r="B1" s="34"/>
      <c r="C1" s="33"/>
      <c r="D1" s="44">
        <v>1</v>
      </c>
      <c r="E1" s="44">
        <v>0.8</v>
      </c>
      <c r="F1" s="44">
        <v>0.6</v>
      </c>
      <c r="G1" s="44">
        <v>0.4</v>
      </c>
      <c r="H1" s="44" t="s">
        <v>92</v>
      </c>
      <c r="I1" s="172" t="s">
        <v>0</v>
      </c>
      <c r="J1" s="44" t="s">
        <v>1</v>
      </c>
      <c r="K1" s="172" t="s">
        <v>2</v>
      </c>
      <c r="L1" s="66" t="s">
        <v>3</v>
      </c>
    </row>
    <row r="2" spans="2:12" ht="15" customHeight="1" x14ac:dyDescent="0.25">
      <c r="B2" s="230" t="s">
        <v>101</v>
      </c>
      <c r="C2" s="39" t="s">
        <v>4</v>
      </c>
      <c r="D2" s="45">
        <v>14073</v>
      </c>
      <c r="E2" s="40">
        <v>11258.4</v>
      </c>
      <c r="F2" s="40">
        <v>8443.7999999999993</v>
      </c>
      <c r="G2" s="40">
        <v>5629.2</v>
      </c>
      <c r="H2" s="40"/>
      <c r="I2" s="41"/>
      <c r="J2" s="239">
        <v>4188473.39</v>
      </c>
      <c r="K2" s="251">
        <f>J2-I4</f>
        <v>348.58999999985099</v>
      </c>
      <c r="L2" s="67"/>
    </row>
    <row r="3" spans="2:12" x14ac:dyDescent="0.25">
      <c r="B3" s="231"/>
      <c r="C3" s="42" t="s">
        <v>5</v>
      </c>
      <c r="D3" s="46">
        <v>185</v>
      </c>
      <c r="E3" s="46">
        <v>69</v>
      </c>
      <c r="F3" s="46">
        <v>9</v>
      </c>
      <c r="G3" s="46">
        <v>130</v>
      </c>
      <c r="H3" s="46"/>
      <c r="I3" s="43"/>
      <c r="J3" s="240"/>
      <c r="K3" s="252"/>
      <c r="L3" s="67"/>
    </row>
    <row r="4" spans="2:12" ht="15.75" thickBot="1" x14ac:dyDescent="0.3">
      <c r="B4" s="232"/>
      <c r="C4" s="176" t="s">
        <v>6</v>
      </c>
      <c r="D4" s="177">
        <f>D2*D3</f>
        <v>2603505</v>
      </c>
      <c r="E4" s="177">
        <f t="shared" ref="E4:G4" si="0">E2*E3</f>
        <v>776829.6</v>
      </c>
      <c r="F4" s="177">
        <f t="shared" si="0"/>
        <v>75994.2</v>
      </c>
      <c r="G4" s="177">
        <f t="shared" si="0"/>
        <v>731796</v>
      </c>
      <c r="H4" s="177"/>
      <c r="I4" s="178">
        <f>SUM(D4:H4)</f>
        <v>4188124.8000000003</v>
      </c>
      <c r="J4" s="241"/>
      <c r="K4" s="253"/>
      <c r="L4" s="67"/>
    </row>
    <row r="5" spans="2:12" x14ac:dyDescent="0.25">
      <c r="B5" s="230" t="s">
        <v>102</v>
      </c>
      <c r="C5" s="39" t="s">
        <v>4</v>
      </c>
      <c r="D5" s="45"/>
      <c r="E5" s="40"/>
      <c r="F5" s="40"/>
      <c r="G5" s="40"/>
      <c r="H5" s="40"/>
      <c r="I5" s="41"/>
      <c r="J5" s="248"/>
      <c r="K5" s="251">
        <f>J5-I7</f>
        <v>0</v>
      </c>
      <c r="L5" s="67"/>
    </row>
    <row r="6" spans="2:12" x14ac:dyDescent="0.25">
      <c r="B6" s="231"/>
      <c r="C6" s="42" t="s">
        <v>5</v>
      </c>
      <c r="D6" s="46"/>
      <c r="E6" s="46"/>
      <c r="F6" s="46"/>
      <c r="G6" s="46"/>
      <c r="H6" s="46"/>
      <c r="I6" s="43"/>
      <c r="J6" s="249"/>
      <c r="K6" s="252"/>
      <c r="L6" s="67"/>
    </row>
    <row r="7" spans="2:12" ht="15.75" thickBot="1" x14ac:dyDescent="0.3">
      <c r="B7" s="232"/>
      <c r="C7" s="176" t="s">
        <v>6</v>
      </c>
      <c r="D7" s="177">
        <f>D5*D6</f>
        <v>0</v>
      </c>
      <c r="E7" s="177">
        <f t="shared" ref="E7:G7" si="1">E5*E6</f>
        <v>0</v>
      </c>
      <c r="F7" s="177">
        <f t="shared" si="1"/>
        <v>0</v>
      </c>
      <c r="G7" s="177">
        <f t="shared" si="1"/>
        <v>0</v>
      </c>
      <c r="H7" s="177"/>
      <c r="I7" s="178">
        <f>SUM(D7:H7)</f>
        <v>0</v>
      </c>
      <c r="J7" s="250"/>
      <c r="K7" s="253"/>
      <c r="L7" s="67"/>
    </row>
    <row r="8" spans="2:12" ht="15" customHeight="1" x14ac:dyDescent="0.25">
      <c r="B8" s="230" t="s">
        <v>109</v>
      </c>
      <c r="C8" s="39" t="s">
        <v>4</v>
      </c>
      <c r="D8" s="45"/>
      <c r="E8" s="40"/>
      <c r="F8" s="40"/>
      <c r="G8" s="40"/>
      <c r="H8" s="40"/>
      <c r="I8" s="41"/>
      <c r="J8" s="239"/>
      <c r="K8" s="251">
        <f>J8-I10</f>
        <v>0</v>
      </c>
      <c r="L8" s="67"/>
    </row>
    <row r="9" spans="2:12" x14ac:dyDescent="0.25">
      <c r="B9" s="231"/>
      <c r="C9" s="42" t="s">
        <v>5</v>
      </c>
      <c r="D9" s="46"/>
      <c r="E9" s="46"/>
      <c r="F9" s="46"/>
      <c r="G9" s="46"/>
      <c r="H9" s="46"/>
      <c r="I9" s="43"/>
      <c r="J9" s="240"/>
      <c r="K9" s="252"/>
      <c r="L9" s="67"/>
    </row>
    <row r="10" spans="2:12" ht="15.75" thickBot="1" x14ac:dyDescent="0.3">
      <c r="B10" s="232"/>
      <c r="C10" s="176" t="s">
        <v>6</v>
      </c>
      <c r="D10" s="177">
        <f>D8*D9</f>
        <v>0</v>
      </c>
      <c r="E10" s="177">
        <f t="shared" ref="E10:G10" si="2">E8*E9</f>
        <v>0</v>
      </c>
      <c r="F10" s="177">
        <f t="shared" si="2"/>
        <v>0</v>
      </c>
      <c r="G10" s="177">
        <f t="shared" si="2"/>
        <v>0</v>
      </c>
      <c r="H10" s="177"/>
      <c r="I10" s="178">
        <f>SUM(D10:H10)</f>
        <v>0</v>
      </c>
      <c r="J10" s="241"/>
      <c r="K10" s="253"/>
      <c r="L10" s="67"/>
    </row>
    <row r="11" spans="2:12" x14ac:dyDescent="0.25">
      <c r="B11" s="242" t="s">
        <v>103</v>
      </c>
      <c r="C11" s="39" t="s">
        <v>4</v>
      </c>
      <c r="D11" s="45"/>
      <c r="E11" s="40"/>
      <c r="F11" s="40"/>
      <c r="G11" s="40"/>
      <c r="H11" s="40"/>
      <c r="I11" s="41"/>
      <c r="J11" s="239"/>
      <c r="K11" s="251">
        <f>J11-I13</f>
        <v>0</v>
      </c>
      <c r="L11" s="67"/>
    </row>
    <row r="12" spans="2:12" x14ac:dyDescent="0.25">
      <c r="B12" s="243"/>
      <c r="C12" s="42" t="s">
        <v>5</v>
      </c>
      <c r="D12" s="46"/>
      <c r="E12" s="46"/>
      <c r="F12" s="46"/>
      <c r="G12" s="46"/>
      <c r="H12" s="46"/>
      <c r="I12" s="43"/>
      <c r="J12" s="240"/>
      <c r="K12" s="252"/>
      <c r="L12" s="67"/>
    </row>
    <row r="13" spans="2:12" ht="15.75" thickBot="1" x14ac:dyDescent="0.3">
      <c r="B13" s="244"/>
      <c r="C13" s="176" t="s">
        <v>6</v>
      </c>
      <c r="D13" s="177">
        <f>D11*D12</f>
        <v>0</v>
      </c>
      <c r="E13" s="177">
        <f t="shared" ref="E13:G13" si="3">E11*E12</f>
        <v>0</v>
      </c>
      <c r="F13" s="177">
        <f t="shared" si="3"/>
        <v>0</v>
      </c>
      <c r="G13" s="177">
        <f t="shared" si="3"/>
        <v>0</v>
      </c>
      <c r="H13" s="177"/>
      <c r="I13" s="178">
        <f>SUM(D13:H13)</f>
        <v>0</v>
      </c>
      <c r="J13" s="241"/>
      <c r="K13" s="253"/>
      <c r="L13" s="67"/>
    </row>
    <row r="14" spans="2:12" ht="15" customHeight="1" x14ac:dyDescent="0.25">
      <c r="B14" s="230" t="s">
        <v>104</v>
      </c>
      <c r="C14" s="39" t="s">
        <v>4</v>
      </c>
      <c r="D14" s="45"/>
      <c r="E14" s="40"/>
      <c r="F14" s="40"/>
      <c r="G14" s="40"/>
      <c r="H14" s="40"/>
      <c r="I14" s="41"/>
      <c r="J14" s="245"/>
      <c r="K14" s="251">
        <f>J14-I16</f>
        <v>0</v>
      </c>
      <c r="L14" s="67"/>
    </row>
    <row r="15" spans="2:12" x14ac:dyDescent="0.25">
      <c r="B15" s="231"/>
      <c r="C15" s="42" t="s">
        <v>5</v>
      </c>
      <c r="D15" s="46"/>
      <c r="E15" s="46"/>
      <c r="F15" s="46"/>
      <c r="G15" s="46"/>
      <c r="H15" s="46"/>
      <c r="I15" s="43"/>
      <c r="J15" s="246"/>
      <c r="K15" s="252"/>
      <c r="L15" s="67"/>
    </row>
    <row r="16" spans="2:12" ht="15.75" thickBot="1" x14ac:dyDescent="0.3">
      <c r="B16" s="232"/>
      <c r="C16" s="176" t="s">
        <v>6</v>
      </c>
      <c r="D16" s="177">
        <f>D14*D15</f>
        <v>0</v>
      </c>
      <c r="E16" s="177">
        <f t="shared" ref="E16:G16" si="4">E14*E15</f>
        <v>0</v>
      </c>
      <c r="F16" s="177">
        <f t="shared" si="4"/>
        <v>0</v>
      </c>
      <c r="G16" s="177">
        <f t="shared" si="4"/>
        <v>0</v>
      </c>
      <c r="H16" s="177"/>
      <c r="I16" s="178">
        <f>SUM(D16:H16)</f>
        <v>0</v>
      </c>
      <c r="J16" s="247"/>
      <c r="K16" s="253"/>
      <c r="L16" s="67"/>
    </row>
    <row r="17" spans="2:14" x14ac:dyDescent="0.25">
      <c r="B17" s="230" t="s">
        <v>105</v>
      </c>
      <c r="C17" s="39" t="s">
        <v>4</v>
      </c>
      <c r="D17" s="45"/>
      <c r="E17" s="40"/>
      <c r="F17" s="40"/>
      <c r="G17" s="40"/>
      <c r="H17" s="40"/>
      <c r="I17" s="41"/>
      <c r="J17" s="239"/>
      <c r="K17" s="254">
        <f>J17-I19</f>
        <v>0</v>
      </c>
      <c r="L17" s="67"/>
    </row>
    <row r="18" spans="2:14" x14ac:dyDescent="0.25">
      <c r="B18" s="231"/>
      <c r="C18" s="42" t="s">
        <v>5</v>
      </c>
      <c r="D18" s="46"/>
      <c r="E18" s="46"/>
      <c r="F18" s="46"/>
      <c r="G18" s="46"/>
      <c r="H18" s="46"/>
      <c r="I18" s="43"/>
      <c r="J18" s="240"/>
      <c r="K18" s="255"/>
      <c r="L18" s="67"/>
      <c r="N18" s="89"/>
    </row>
    <row r="19" spans="2:14" ht="15.75" thickBot="1" x14ac:dyDescent="0.3">
      <c r="B19" s="232"/>
      <c r="C19" s="176" t="s">
        <v>6</v>
      </c>
      <c r="D19" s="177">
        <f>D17*D18</f>
        <v>0</v>
      </c>
      <c r="E19" s="177">
        <f t="shared" ref="E19:G19" si="5">E17*E18</f>
        <v>0</v>
      </c>
      <c r="F19" s="177">
        <f t="shared" si="5"/>
        <v>0</v>
      </c>
      <c r="G19" s="177">
        <f t="shared" si="5"/>
        <v>0</v>
      </c>
      <c r="I19" s="177">
        <f>SUM(D19:H19)</f>
        <v>0</v>
      </c>
      <c r="J19" s="241"/>
      <c r="K19" s="256"/>
      <c r="L19" s="67"/>
    </row>
    <row r="20" spans="2:14" x14ac:dyDescent="0.25">
      <c r="B20" s="230" t="s">
        <v>94</v>
      </c>
      <c r="C20" s="179" t="s">
        <v>4</v>
      </c>
      <c r="D20" s="180"/>
      <c r="E20" s="181"/>
      <c r="F20" s="181"/>
      <c r="G20" s="181"/>
      <c r="H20" s="181"/>
      <c r="I20" s="182"/>
      <c r="J20" s="233"/>
      <c r="K20" s="236">
        <f>J20-I22</f>
        <v>0</v>
      </c>
      <c r="L20" s="67"/>
    </row>
    <row r="21" spans="2:14" x14ac:dyDescent="0.25">
      <c r="B21" s="231"/>
      <c r="C21" s="171" t="s">
        <v>5</v>
      </c>
      <c r="D21" s="170"/>
      <c r="E21" s="170"/>
      <c r="F21" s="170"/>
      <c r="G21" s="170"/>
      <c r="H21" s="170"/>
      <c r="I21" s="175"/>
      <c r="J21" s="234"/>
      <c r="K21" s="237"/>
      <c r="L21" s="74"/>
    </row>
    <row r="22" spans="2:14" ht="15.75" thickBot="1" x14ac:dyDescent="0.3">
      <c r="B22" s="232"/>
      <c r="C22" s="183" t="s">
        <v>6</v>
      </c>
      <c r="D22" s="155">
        <f>D20*D21</f>
        <v>0</v>
      </c>
      <c r="E22" s="155">
        <f t="shared" ref="E22:G22" si="6">E20*E21</f>
        <v>0</v>
      </c>
      <c r="F22" s="155">
        <f t="shared" si="6"/>
        <v>0</v>
      </c>
      <c r="G22" s="155">
        <f t="shared" si="6"/>
        <v>0</v>
      </c>
      <c r="H22" s="155"/>
      <c r="I22" s="184">
        <f>SUM(D22:H22)</f>
        <v>0</v>
      </c>
      <c r="J22" s="235"/>
      <c r="K22" s="238"/>
      <c r="L22" s="75"/>
    </row>
    <row r="23" spans="2:14" x14ac:dyDescent="0.25">
      <c r="B23" s="64"/>
      <c r="E23"/>
      <c r="F23"/>
      <c r="G23"/>
      <c r="H23"/>
      <c r="I23"/>
      <c r="J23"/>
      <c r="L23" s="75"/>
    </row>
    <row r="24" spans="2:14" ht="24.75" customHeight="1" x14ac:dyDescent="0.25">
      <c r="B24"/>
      <c r="E24"/>
      <c r="F24"/>
      <c r="G24"/>
      <c r="H24"/>
      <c r="I24"/>
      <c r="J24"/>
      <c r="L24" s="75"/>
    </row>
    <row r="25" spans="2:14" ht="19.5" customHeight="1" x14ac:dyDescent="0.25">
      <c r="B25"/>
      <c r="E25"/>
      <c r="F25"/>
      <c r="G25"/>
      <c r="H25"/>
      <c r="I25"/>
      <c r="J25"/>
      <c r="L25" s="75"/>
    </row>
    <row r="26" spans="2:14" x14ac:dyDescent="0.25">
      <c r="B26"/>
      <c r="E26"/>
      <c r="F26"/>
      <c r="G26"/>
      <c r="H26"/>
      <c r="I26"/>
      <c r="J26"/>
      <c r="L26" s="67"/>
    </row>
    <row r="27" spans="2:14" x14ac:dyDescent="0.25">
      <c r="B27" s="64"/>
      <c r="L27" s="74"/>
    </row>
    <row r="28" spans="2:14" x14ac:dyDescent="0.25">
      <c r="B28" s="65"/>
      <c r="L28" s="67"/>
    </row>
    <row r="29" spans="2:14" x14ac:dyDescent="0.25">
      <c r="B29" s="64"/>
      <c r="L29" s="67"/>
    </row>
    <row r="30" spans="2:14" x14ac:dyDescent="0.25">
      <c r="B30" s="65"/>
      <c r="L30" s="76"/>
    </row>
    <row r="31" spans="2:14" x14ac:dyDescent="0.25">
      <c r="L31" s="67"/>
      <c r="M31" s="89"/>
    </row>
    <row r="32" spans="2:14" x14ac:dyDescent="0.25">
      <c r="L32" s="67"/>
    </row>
    <row r="33" spans="12:16" x14ac:dyDescent="0.25">
      <c r="L33" s="76"/>
      <c r="M33" s="89"/>
    </row>
    <row r="34" spans="12:16" x14ac:dyDescent="0.25">
      <c r="L34" s="67"/>
    </row>
    <row r="35" spans="12:16" x14ac:dyDescent="0.25">
      <c r="L35" s="67"/>
    </row>
    <row r="36" spans="12:16" x14ac:dyDescent="0.25">
      <c r="L36" s="67"/>
    </row>
    <row r="37" spans="12:16" x14ac:dyDescent="0.25">
      <c r="L37" s="67"/>
    </row>
    <row r="38" spans="12:16" x14ac:dyDescent="0.25">
      <c r="L38" s="173"/>
      <c r="M38" s="90"/>
      <c r="N38" s="90"/>
      <c r="O38" s="90"/>
      <c r="P38" s="90"/>
    </row>
    <row r="39" spans="12:16" x14ac:dyDescent="0.25">
      <c r="L39" s="173"/>
      <c r="M39" s="90"/>
      <c r="N39" s="90"/>
      <c r="O39" s="90"/>
      <c r="P39" s="90"/>
    </row>
    <row r="40" spans="12:16" ht="15.75" thickBot="1" x14ac:dyDescent="0.3">
      <c r="L40" s="174"/>
      <c r="M40" s="90"/>
      <c r="N40" s="90"/>
      <c r="O40" s="90"/>
      <c r="P40" s="90"/>
    </row>
    <row r="41" spans="12:16" x14ac:dyDescent="0.25">
      <c r="M41" s="90"/>
      <c r="N41" s="90"/>
      <c r="O41" s="90"/>
      <c r="P41" s="90"/>
    </row>
    <row r="42" spans="12:16" x14ac:dyDescent="0.25">
      <c r="M42" s="90"/>
      <c r="N42" s="90"/>
      <c r="O42" s="90"/>
      <c r="P42" s="90"/>
    </row>
    <row r="43" spans="12:16" x14ac:dyDescent="0.25">
      <c r="M43" s="90"/>
      <c r="N43" s="90"/>
      <c r="O43" s="90"/>
      <c r="P43" s="90"/>
    </row>
    <row r="44" spans="12:16" ht="15" customHeight="1" x14ac:dyDescent="0.25">
      <c r="M44" s="90"/>
      <c r="N44" s="90"/>
      <c r="O44" s="90"/>
      <c r="P44" s="90"/>
    </row>
    <row r="45" spans="12:16" x14ac:dyDescent="0.25">
      <c r="M45" s="90"/>
      <c r="N45" s="90"/>
      <c r="O45" s="90"/>
      <c r="P45" s="90"/>
    </row>
    <row r="46" spans="12:16" x14ac:dyDescent="0.25">
      <c r="M46" s="90"/>
      <c r="N46" s="90"/>
      <c r="O46" s="90"/>
      <c r="P46" s="90"/>
    </row>
    <row r="47" spans="12:16" ht="15" customHeight="1" x14ac:dyDescent="0.25"/>
  </sheetData>
  <mergeCells count="21">
    <mergeCell ref="K2:K4"/>
    <mergeCell ref="K8:K10"/>
    <mergeCell ref="K14:K16"/>
    <mergeCell ref="K11:K13"/>
    <mergeCell ref="K17:K19"/>
    <mergeCell ref="K5:K7"/>
    <mergeCell ref="B2:B4"/>
    <mergeCell ref="B8:B10"/>
    <mergeCell ref="B14:B16"/>
    <mergeCell ref="B11:B13"/>
    <mergeCell ref="J2:J4"/>
    <mergeCell ref="J8:J10"/>
    <mergeCell ref="J14:J16"/>
    <mergeCell ref="J11:J13"/>
    <mergeCell ref="J5:J7"/>
    <mergeCell ref="B5:B7"/>
    <mergeCell ref="B17:B19"/>
    <mergeCell ref="J20:J22"/>
    <mergeCell ref="B20:B22"/>
    <mergeCell ref="K20:K22"/>
    <mergeCell ref="J17:J19"/>
  </mergeCells>
  <phoneticPr fontId="6" type="noConversion"/>
  <pageMargins left="0.24" right="0.24" top="0.78740157480314965" bottom="0.78740157480314965" header="0.31496062992125984" footer="0.31496062992125984"/>
  <pageSetup paperSize="9" scale="66" orientation="landscape" r:id="rId1"/>
  <headerFooter>
    <oddHeader>&amp;CDiretoria de Administração do Fundo da Procuradoria-Geral do Distrito Federal
VALORES A DISTRIBUIR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"/>
  <sheetViews>
    <sheetView zoomScale="80" zoomScaleNormal="80" zoomScalePageLayoutView="90" workbookViewId="0">
      <pane ySplit="1" topLeftCell="A2" activePane="bottomLeft" state="frozen"/>
      <selection pane="bottomLeft" activeCell="V1" sqref="V1"/>
    </sheetView>
  </sheetViews>
  <sheetFormatPr defaultColWidth="8.85546875" defaultRowHeight="15" x14ac:dyDescent="0.25"/>
  <cols>
    <col min="1" max="1" width="57.7109375" bestFit="1" customWidth="1"/>
    <col min="2" max="2" width="17" customWidth="1"/>
    <col min="3" max="3" width="29.140625" hidden="1" customWidth="1"/>
    <col min="4" max="4" width="19.5703125" bestFit="1" customWidth="1"/>
    <col min="5" max="5" width="12.140625" customWidth="1"/>
    <col min="6" max="6" width="13.140625" style="1" customWidth="1"/>
    <col min="7" max="8" width="22.85546875" style="1" hidden="1" customWidth="1"/>
    <col min="9" max="9" width="18.7109375" style="1" hidden="1" customWidth="1"/>
    <col min="10" max="10" width="17.140625" style="1" hidden="1" customWidth="1"/>
    <col min="11" max="11" width="20.140625" style="1" hidden="1" customWidth="1"/>
    <col min="12" max="12" width="17.42578125" style="1" customWidth="1"/>
    <col min="13" max="13" width="16.85546875" style="1" customWidth="1"/>
    <col min="14" max="15" width="22.85546875" style="1" hidden="1" customWidth="1"/>
    <col min="16" max="16" width="22.42578125" style="1" hidden="1" customWidth="1"/>
    <col min="17" max="17" width="17.140625" style="1" hidden="1" customWidth="1"/>
    <col min="18" max="18" width="16.85546875" style="1" hidden="1" customWidth="1"/>
    <col min="19" max="19" width="13.7109375" customWidth="1"/>
    <col min="20" max="20" width="16.42578125" bestFit="1" customWidth="1"/>
    <col min="21" max="21" width="20.28515625" customWidth="1"/>
    <col min="22" max="22" width="12.28515625" customWidth="1"/>
    <col min="27" max="27" width="11.42578125" bestFit="1" customWidth="1"/>
  </cols>
  <sheetData>
    <row r="1" spans="1:22" s="21" customFormat="1" ht="42" x14ac:dyDescent="0.25">
      <c r="A1" s="71" t="s">
        <v>7</v>
      </c>
      <c r="B1" s="71" t="s">
        <v>13</v>
      </c>
      <c r="C1" s="71" t="s">
        <v>8</v>
      </c>
      <c r="D1" s="71" t="s">
        <v>9</v>
      </c>
      <c r="E1" s="71" t="s">
        <v>10</v>
      </c>
      <c r="F1" s="71" t="s">
        <v>11</v>
      </c>
      <c r="G1" s="72">
        <v>46053</v>
      </c>
      <c r="H1" s="72">
        <v>46081</v>
      </c>
      <c r="I1" s="72">
        <v>46112</v>
      </c>
      <c r="J1" s="72">
        <v>46142</v>
      </c>
      <c r="K1" s="72">
        <v>46173</v>
      </c>
      <c r="L1" s="72">
        <v>46203</v>
      </c>
      <c r="M1" s="72">
        <v>46234</v>
      </c>
      <c r="N1" s="72">
        <v>46265</v>
      </c>
      <c r="O1" s="72">
        <v>46295</v>
      </c>
      <c r="P1" s="72">
        <v>46326</v>
      </c>
      <c r="Q1" s="72">
        <v>46356</v>
      </c>
      <c r="R1" s="72">
        <v>46387</v>
      </c>
      <c r="S1" s="71" t="s">
        <v>12</v>
      </c>
      <c r="T1" s="71" t="s">
        <v>14</v>
      </c>
      <c r="U1" s="71" t="s">
        <v>15</v>
      </c>
      <c r="V1" s="71" t="s">
        <v>16</v>
      </c>
    </row>
    <row r="2" spans="1:22" s="23" customFormat="1" ht="14.25" customHeight="1" x14ac:dyDescent="0.2">
      <c r="A2" s="35" t="s">
        <v>138</v>
      </c>
      <c r="B2" s="26" t="s">
        <v>143</v>
      </c>
      <c r="C2" s="28"/>
      <c r="D2" s="28"/>
      <c r="E2" s="36"/>
      <c r="F2" s="37">
        <v>33760</v>
      </c>
      <c r="G2" s="24">
        <f t="shared" ref="G2:R5" si="0">IF($F2&lt;&gt;"",IF($F2&gt;DATE(YEAR(G$1)-1,MONTH(G$1),DAY(G$1)),1,IF($F2&gt;DATE(YEAR(G$1)-2,MONTH(G$1),DAY(G$1)),0.8,IF($F2&gt;DATE(YEAR(G$1)-3,MONTH(G$1),DAY(G$1)),0.6,IF($F2&gt;DATE(YEAR(G$1)-4,MONTH(G$1),DAY(G$1)),0.4,0.4)))),IF(G$1&gt;DATE(YEAR($E2)+4,MONTH($E2),DAY($E2)),1,IF(G$1&gt;=DATE(YEAR($E2)+3,MONTH($E2),DAY($E2)),0.8,IF(G$1&gt;=DATE(YEAR($E2)+2,MONTH($E2),DAY($E2)),0.6,IF(G$1&gt;=DATE(YEAR($E2)+1,MONTH($E2),DAY($E2)),0.4,0.4)))))</f>
        <v>0.4</v>
      </c>
      <c r="H2" s="24">
        <f t="shared" si="0"/>
        <v>0.4</v>
      </c>
      <c r="I2" s="24">
        <f t="shared" si="0"/>
        <v>0.4</v>
      </c>
      <c r="J2" s="24">
        <f t="shared" si="0"/>
        <v>0.4</v>
      </c>
      <c r="K2" s="24">
        <f t="shared" si="0"/>
        <v>0.4</v>
      </c>
      <c r="L2" s="24">
        <f t="shared" si="0"/>
        <v>0.4</v>
      </c>
      <c r="M2" s="24">
        <f t="shared" si="0"/>
        <v>0.4</v>
      </c>
      <c r="N2" s="24">
        <f t="shared" si="0"/>
        <v>0.4</v>
      </c>
      <c r="O2" s="24">
        <f t="shared" si="0"/>
        <v>0.4</v>
      </c>
      <c r="P2" s="24">
        <f t="shared" si="0"/>
        <v>0.4</v>
      </c>
      <c r="Q2" s="24">
        <f t="shared" si="0"/>
        <v>0.4</v>
      </c>
      <c r="R2" s="24">
        <f t="shared" si="0"/>
        <v>0.4</v>
      </c>
      <c r="S2" s="29"/>
      <c r="T2" s="26"/>
      <c r="U2" s="26"/>
      <c r="V2" s="27"/>
    </row>
    <row r="3" spans="1:22" s="23" customFormat="1" ht="14.25" customHeight="1" x14ac:dyDescent="0.2">
      <c r="A3" s="35" t="s">
        <v>139</v>
      </c>
      <c r="B3" s="26" t="s">
        <v>144</v>
      </c>
      <c r="C3" s="28"/>
      <c r="D3" s="28"/>
      <c r="E3" s="36"/>
      <c r="F3" s="37">
        <v>34941</v>
      </c>
      <c r="G3" s="24">
        <f t="shared" si="0"/>
        <v>0.4</v>
      </c>
      <c r="H3" s="24">
        <f t="shared" si="0"/>
        <v>0.4</v>
      </c>
      <c r="I3" s="24">
        <f t="shared" si="0"/>
        <v>0.4</v>
      </c>
      <c r="J3" s="24">
        <f t="shared" si="0"/>
        <v>0.4</v>
      </c>
      <c r="K3" s="24">
        <f t="shared" si="0"/>
        <v>0.4</v>
      </c>
      <c r="L3" s="24">
        <f t="shared" si="0"/>
        <v>0.4</v>
      </c>
      <c r="M3" s="24">
        <f t="shared" si="0"/>
        <v>0.4</v>
      </c>
      <c r="N3" s="24">
        <f t="shared" si="0"/>
        <v>0.4</v>
      </c>
      <c r="O3" s="24">
        <f t="shared" si="0"/>
        <v>0.4</v>
      </c>
      <c r="P3" s="24">
        <f t="shared" si="0"/>
        <v>0.4</v>
      </c>
      <c r="Q3" s="24">
        <f t="shared" si="0"/>
        <v>0.4</v>
      </c>
      <c r="R3" s="24">
        <f t="shared" si="0"/>
        <v>0.4</v>
      </c>
      <c r="S3" s="29"/>
      <c r="T3" s="26"/>
      <c r="U3" s="26"/>
      <c r="V3" s="27"/>
    </row>
    <row r="4" spans="1:22" s="23" customFormat="1" ht="14.25" customHeight="1" x14ac:dyDescent="0.2">
      <c r="A4" s="35" t="s">
        <v>140</v>
      </c>
      <c r="B4" s="26" t="s">
        <v>145</v>
      </c>
      <c r="C4" s="28"/>
      <c r="D4" s="28"/>
      <c r="E4" s="36"/>
      <c r="F4" s="37">
        <v>33760</v>
      </c>
      <c r="G4" s="24">
        <f t="shared" si="0"/>
        <v>0.4</v>
      </c>
      <c r="H4" s="24">
        <f t="shared" si="0"/>
        <v>0.4</v>
      </c>
      <c r="I4" s="24">
        <f t="shared" si="0"/>
        <v>0.4</v>
      </c>
      <c r="J4" s="24">
        <f t="shared" si="0"/>
        <v>0.4</v>
      </c>
      <c r="K4" s="24">
        <f t="shared" si="0"/>
        <v>0.4</v>
      </c>
      <c r="L4" s="24">
        <f t="shared" si="0"/>
        <v>0.4</v>
      </c>
      <c r="M4" s="24">
        <f t="shared" si="0"/>
        <v>0.4</v>
      </c>
      <c r="N4" s="24">
        <f t="shared" si="0"/>
        <v>0.4</v>
      </c>
      <c r="O4" s="24">
        <f t="shared" si="0"/>
        <v>0.4</v>
      </c>
      <c r="P4" s="24">
        <f t="shared" si="0"/>
        <v>0.4</v>
      </c>
      <c r="Q4" s="24">
        <f t="shared" si="0"/>
        <v>0.4</v>
      </c>
      <c r="R4" s="24">
        <f t="shared" si="0"/>
        <v>0.4</v>
      </c>
      <c r="S4" s="29"/>
      <c r="T4" s="26"/>
      <c r="U4" s="26"/>
      <c r="V4" s="27"/>
    </row>
    <row r="5" spans="1:22" s="23" customFormat="1" ht="14.25" customHeight="1" x14ac:dyDescent="0.2">
      <c r="A5" s="30" t="s">
        <v>141</v>
      </c>
      <c r="B5" s="26" t="s">
        <v>146</v>
      </c>
      <c r="C5" s="28"/>
      <c r="D5" s="28"/>
      <c r="E5" s="31">
        <v>44105</v>
      </c>
      <c r="F5" s="37"/>
      <c r="G5" s="24">
        <f t="shared" si="0"/>
        <v>1</v>
      </c>
      <c r="H5" s="24">
        <f t="shared" si="0"/>
        <v>1</v>
      </c>
      <c r="I5" s="24">
        <f t="shared" si="0"/>
        <v>1</v>
      </c>
      <c r="J5" s="24">
        <f t="shared" si="0"/>
        <v>1</v>
      </c>
      <c r="K5" s="24">
        <f t="shared" si="0"/>
        <v>1</v>
      </c>
      <c r="L5" s="24">
        <f t="shared" si="0"/>
        <v>1</v>
      </c>
      <c r="M5" s="24">
        <f t="shared" si="0"/>
        <v>1</v>
      </c>
      <c r="N5" s="24">
        <f t="shared" si="0"/>
        <v>1</v>
      </c>
      <c r="O5" s="24">
        <f t="shared" si="0"/>
        <v>1</v>
      </c>
      <c r="P5" s="24">
        <f t="shared" si="0"/>
        <v>1</v>
      </c>
      <c r="Q5" s="24">
        <f t="shared" si="0"/>
        <v>1</v>
      </c>
      <c r="R5" s="24">
        <f t="shared" si="0"/>
        <v>1</v>
      </c>
      <c r="S5" s="38"/>
      <c r="T5" s="25"/>
      <c r="U5" s="26"/>
      <c r="V5" s="27"/>
    </row>
    <row r="6" spans="1:22" s="23" customFormat="1" ht="14.25" customHeight="1" x14ac:dyDescent="0.2">
      <c r="A6" s="30" t="s">
        <v>142</v>
      </c>
      <c r="B6" s="26" t="s">
        <v>147</v>
      </c>
      <c r="C6" s="28"/>
      <c r="D6" s="28"/>
      <c r="E6" s="31">
        <v>36390</v>
      </c>
      <c r="F6" s="37">
        <v>43739</v>
      </c>
      <c r="G6" s="24">
        <f t="shared" ref="G6:R6" si="1">IF($F6&lt;&gt;"",IF($F6&gt;DATE(YEAR(G$1)-1,MONTH(G$1),DAY(G$1)),1,IF($F6&gt;DATE(YEAR(G$1)-2,MONTH(G$1),DAY(G$1)),0.8,IF($F6&gt;DATE(YEAR(G$1)-3,MONTH(G$1),DAY(G$1)),0.6,IF($F6&gt;DATE(YEAR(G$1)-4,MONTH(G$1),DAY(G$1)),0.4,0.4)))),IF(G$1&gt;DATE(YEAR($E6)+4,MONTH($E6),DAY($E6)),1,IF(G$1&gt;=DATE(YEAR($E6)+3,MONTH($E6),DAY($E6)),0.8,IF(G$1&gt;=DATE(YEAR($E6)+2,MONTH($E6),DAY($E6)),0.6,IF(G$1&gt;=DATE(YEAR($E6)+1,MONTH($E6),DAY($E6)),0.4,0.4)))))</f>
        <v>0.4</v>
      </c>
      <c r="H6" s="24">
        <f t="shared" si="1"/>
        <v>0.4</v>
      </c>
      <c r="I6" s="24">
        <f t="shared" si="1"/>
        <v>0.4</v>
      </c>
      <c r="J6" s="24">
        <f t="shared" si="1"/>
        <v>0.4</v>
      </c>
      <c r="K6" s="24">
        <f t="shared" si="1"/>
        <v>0.4</v>
      </c>
      <c r="L6" s="24">
        <f t="shared" si="1"/>
        <v>0.4</v>
      </c>
      <c r="M6" s="24">
        <f t="shared" si="1"/>
        <v>0.4</v>
      </c>
      <c r="N6" s="24">
        <f t="shared" si="1"/>
        <v>0.4</v>
      </c>
      <c r="O6" s="24">
        <f t="shared" si="1"/>
        <v>0.4</v>
      </c>
      <c r="P6" s="24">
        <f t="shared" si="1"/>
        <v>0.4</v>
      </c>
      <c r="Q6" s="24">
        <f t="shared" si="1"/>
        <v>0.4</v>
      </c>
      <c r="R6" s="24">
        <f t="shared" si="1"/>
        <v>0.4</v>
      </c>
      <c r="S6" s="29"/>
      <c r="T6" s="25"/>
      <c r="U6" s="26"/>
      <c r="V6" s="27"/>
    </row>
  </sheetData>
  <autoFilter ref="A1:V6" xr:uid="{00000000-0009-0000-0000-000001000000}"/>
  <sortState xmlns:xlrd2="http://schemas.microsoft.com/office/spreadsheetml/2017/richdata2" ref="A2:P6">
    <sortCondition ref="A2:A6"/>
  </sortState>
  <phoneticPr fontId="6" type="noConversion"/>
  <conditionalFormatting sqref="G2:R6">
    <cfRule type="colorScale" priority="214">
      <colorScale>
        <cfvo type="min"/>
        <cfvo type="max"/>
        <color theme="9" tint="0.79998168889431442"/>
        <color rgb="FF00B050"/>
      </colorScale>
    </cfRule>
  </conditionalFormatting>
  <pageMargins left="0" right="0" top="0.78740157480314965" bottom="0.78740157480314965" header="0.31496062992125984" footer="0.31496062992125984"/>
  <pageSetup paperSize="9" scale="35" fitToHeight="0" orientation="portrait" r:id="rId1"/>
  <headerFooter>
    <oddHeader>&amp;CDiretoria de Administração do Fundo da Procuradoria-Geral do Distrito Federal
RELATÓRIO DE PERCENTUAL PARA DISTRIBUIÇÃO DE HONORÁRIOS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activeCell="I7" sqref="I7"/>
    </sheetView>
  </sheetViews>
  <sheetFormatPr defaultRowHeight="15" x14ac:dyDescent="0.25"/>
  <cols>
    <col min="1" max="1" width="48.42578125" bestFit="1" customWidth="1"/>
    <col min="2" max="2" width="17.5703125" style="1" customWidth="1"/>
    <col min="3" max="3" width="18.42578125" customWidth="1"/>
    <col min="4" max="4" width="17.42578125" customWidth="1"/>
    <col min="5" max="5" width="16.85546875" bestFit="1" customWidth="1"/>
    <col min="6" max="6" width="16.85546875" customWidth="1"/>
    <col min="7" max="7" width="16.85546875" bestFit="1" customWidth="1"/>
    <col min="8" max="8" width="16.140625" customWidth="1"/>
    <col min="9" max="9" width="19.5703125" customWidth="1"/>
    <col min="10" max="10" width="17.5703125" customWidth="1"/>
    <col min="11" max="11" width="16.42578125" customWidth="1"/>
    <col min="12" max="12" width="16.140625" customWidth="1"/>
    <col min="13" max="13" width="10.42578125" customWidth="1"/>
    <col min="14" max="14" width="12.140625" bestFit="1" customWidth="1"/>
  </cols>
  <sheetData>
    <row r="1" spans="1:14" ht="19.5" thickBot="1" x14ac:dyDescent="0.3">
      <c r="A1" s="186" t="s">
        <v>95</v>
      </c>
      <c r="B1" s="192">
        <v>4636.62</v>
      </c>
    </row>
    <row r="2" spans="1:14" ht="63" customHeight="1" thickBot="1" x14ac:dyDescent="0.3">
      <c r="A2" s="187" t="s">
        <v>7</v>
      </c>
      <c r="B2" s="187" t="s">
        <v>13</v>
      </c>
      <c r="C2" s="195" t="s">
        <v>19</v>
      </c>
      <c r="D2" s="195" t="s">
        <v>133</v>
      </c>
      <c r="E2" s="198" t="s">
        <v>110</v>
      </c>
      <c r="F2" s="196" t="s">
        <v>111</v>
      </c>
      <c r="G2" s="198" t="s">
        <v>96</v>
      </c>
      <c r="H2" s="197" t="s">
        <v>97</v>
      </c>
      <c r="I2" s="197" t="s">
        <v>98</v>
      </c>
      <c r="J2" s="198" t="s">
        <v>99</v>
      </c>
      <c r="K2" s="195" t="s">
        <v>20</v>
      </c>
      <c r="L2" s="195" t="s">
        <v>100</v>
      </c>
    </row>
    <row r="3" spans="1:14" x14ac:dyDescent="0.25">
      <c r="A3" s="85" t="s">
        <v>138</v>
      </c>
      <c r="B3" s="104" t="s">
        <v>143</v>
      </c>
      <c r="C3" s="98">
        <f>VLOOKUP(B3,'SOBRA 2026'!A:AE,31,0)</f>
        <v>170148.82300000009</v>
      </c>
      <c r="D3" s="132">
        <f>'Dados dos procuradores'!M2*'Dados de Entrada'!$D$2</f>
        <v>5629.2000000000007</v>
      </c>
      <c r="E3" s="98">
        <f>C3+D3</f>
        <v>175778.0230000001</v>
      </c>
      <c r="F3" s="98">
        <v>0</v>
      </c>
      <c r="G3" s="98">
        <f>E3-F3</f>
        <v>175778.0230000001</v>
      </c>
      <c r="H3" s="62">
        <v>0</v>
      </c>
      <c r="I3" s="98">
        <f>IF(G3&lt;H3,G3,H3)</f>
        <v>0</v>
      </c>
      <c r="J3" s="132">
        <f>IF((D3&gt;(F3+I3)),D3-(F3+I3),0)</f>
        <v>5629.2000000000007</v>
      </c>
      <c r="K3" s="98">
        <f>E3-F3-I3</f>
        <v>175778.0230000001</v>
      </c>
      <c r="L3" s="98">
        <f t="shared" ref="L3:L7" si="0">K3-C3</f>
        <v>5629.2000000000116</v>
      </c>
      <c r="M3" s="51"/>
      <c r="N3" s="51"/>
    </row>
    <row r="4" spans="1:14" x14ac:dyDescent="0.25">
      <c r="A4" s="80" t="s">
        <v>139</v>
      </c>
      <c r="B4" s="103" t="s">
        <v>144</v>
      </c>
      <c r="C4" s="98">
        <f>VLOOKUP(B4,'SOBRA 2026'!A:AE,31,0)</f>
        <v>0</v>
      </c>
      <c r="D4" s="132">
        <f>'Dados dos procuradores'!M3*'Dados de Entrada'!$D$2</f>
        <v>5629.2000000000007</v>
      </c>
      <c r="E4" s="98">
        <f t="shared" ref="E4:E7" si="1">C4+D4</f>
        <v>5629.2000000000007</v>
      </c>
      <c r="F4" s="98">
        <v>0</v>
      </c>
      <c r="G4" s="98">
        <f t="shared" ref="G4:G7" si="2">E4-F4</f>
        <v>5629.2000000000007</v>
      </c>
      <c r="H4" s="62">
        <v>0</v>
      </c>
      <c r="I4" s="98">
        <f>IF(G4&lt;H4,G4,H4)</f>
        <v>0</v>
      </c>
      <c r="J4" s="132">
        <f t="shared" ref="J4:J7" si="3">IF((D4&gt;(F4+I4)),D4-(F4+I4),0)</f>
        <v>5629.2000000000007</v>
      </c>
      <c r="K4" s="98">
        <f t="shared" ref="K4:K7" si="4">E4-F4-I4</f>
        <v>5629.2000000000007</v>
      </c>
      <c r="L4" s="98">
        <f t="shared" si="0"/>
        <v>5629.2000000000007</v>
      </c>
      <c r="N4" s="51"/>
    </row>
    <row r="5" spans="1:14" x14ac:dyDescent="0.25">
      <c r="A5" s="80" t="s">
        <v>140</v>
      </c>
      <c r="B5" s="103" t="s">
        <v>145</v>
      </c>
      <c r="C5" s="98">
        <f>VLOOKUP(B5,'SOBRA 2026'!A:AE,31,0)</f>
        <v>0</v>
      </c>
      <c r="D5" s="132">
        <f>'Dados dos procuradores'!M4*'Dados de Entrada'!$D$2</f>
        <v>5629.2000000000007</v>
      </c>
      <c r="E5" s="98">
        <f t="shared" si="1"/>
        <v>5629.2000000000007</v>
      </c>
      <c r="F5" s="98">
        <v>0</v>
      </c>
      <c r="G5" s="98">
        <f t="shared" si="2"/>
        <v>5629.2000000000007</v>
      </c>
      <c r="H5" s="62">
        <v>0</v>
      </c>
      <c r="I5" s="98">
        <f t="shared" ref="I5:I7" si="5">IF(G5&lt;H5,G5,H5)</f>
        <v>0</v>
      </c>
      <c r="J5" s="132">
        <f t="shared" si="3"/>
        <v>5629.2000000000007</v>
      </c>
      <c r="K5" s="98">
        <f t="shared" si="4"/>
        <v>5629.2000000000007</v>
      </c>
      <c r="L5" s="98">
        <f t="shared" si="0"/>
        <v>5629.2000000000007</v>
      </c>
      <c r="N5" s="51"/>
    </row>
    <row r="6" spans="1:14" x14ac:dyDescent="0.25">
      <c r="A6" s="80" t="s">
        <v>141</v>
      </c>
      <c r="B6" s="103" t="s">
        <v>146</v>
      </c>
      <c r="C6" s="98">
        <f>VLOOKUP(B6,'SOBRA 2026'!A:AE,31,0)</f>
        <v>0</v>
      </c>
      <c r="D6" s="132">
        <f>'Dados dos procuradores'!M5*'Dados de Entrada'!$D$2</f>
        <v>14073</v>
      </c>
      <c r="E6" s="98">
        <f t="shared" si="1"/>
        <v>14073</v>
      </c>
      <c r="F6" s="98">
        <v>1300</v>
      </c>
      <c r="G6" s="98">
        <f t="shared" si="2"/>
        <v>12773</v>
      </c>
      <c r="H6" s="62">
        <v>4236</v>
      </c>
      <c r="I6" s="98">
        <f t="shared" si="5"/>
        <v>4236</v>
      </c>
      <c r="J6" s="132">
        <f t="shared" si="3"/>
        <v>8537</v>
      </c>
      <c r="K6" s="98">
        <f t="shared" si="4"/>
        <v>8537</v>
      </c>
      <c r="L6" s="98">
        <f t="shared" si="0"/>
        <v>8537</v>
      </c>
      <c r="N6" s="51"/>
    </row>
    <row r="7" spans="1:14" ht="13.5" customHeight="1" x14ac:dyDescent="0.25">
      <c r="A7" s="80" t="s">
        <v>142</v>
      </c>
      <c r="B7" s="103" t="s">
        <v>147</v>
      </c>
      <c r="C7" s="98">
        <f>VLOOKUP(B7,'SOBRA 2026'!A:AE,31,0)</f>
        <v>2914.7715000000007</v>
      </c>
      <c r="D7" s="132">
        <f>'Dados dos procuradores'!M6*'Dados de Entrada'!$D$2</f>
        <v>5629.2000000000007</v>
      </c>
      <c r="E7" s="98">
        <f t="shared" si="1"/>
        <v>8543.9715000000015</v>
      </c>
      <c r="F7" s="98">
        <v>0</v>
      </c>
      <c r="G7" s="98">
        <f t="shared" si="2"/>
        <v>8543.9715000000015</v>
      </c>
      <c r="H7" s="62">
        <v>0</v>
      </c>
      <c r="I7" s="98">
        <f t="shared" si="5"/>
        <v>0</v>
      </c>
      <c r="J7" s="132">
        <f t="shared" si="3"/>
        <v>5629.2000000000007</v>
      </c>
      <c r="K7" s="98">
        <f t="shared" si="4"/>
        <v>8543.9715000000015</v>
      </c>
      <c r="L7" s="98">
        <f t="shared" si="0"/>
        <v>5629.2000000000007</v>
      </c>
      <c r="N7" s="51"/>
    </row>
    <row r="8" spans="1:14" x14ac:dyDescent="0.25">
      <c r="A8" t="s">
        <v>29</v>
      </c>
      <c r="C8" s="194">
        <f t="shared" ref="C8:J8" si="6">SUM(C3:C7)</f>
        <v>173063.59450000009</v>
      </c>
      <c r="D8" s="194">
        <f t="shared" si="6"/>
        <v>36589.800000000003</v>
      </c>
      <c r="E8" s="194">
        <f t="shared" si="6"/>
        <v>209653.39450000014</v>
      </c>
      <c r="F8" s="194">
        <f t="shared" si="6"/>
        <v>1300</v>
      </c>
      <c r="G8" s="194">
        <f t="shared" si="6"/>
        <v>208353.39450000014</v>
      </c>
      <c r="H8" s="194">
        <f t="shared" si="6"/>
        <v>4236</v>
      </c>
      <c r="I8" s="194">
        <f t="shared" si="6"/>
        <v>4236</v>
      </c>
      <c r="J8" s="194">
        <f t="shared" si="6"/>
        <v>31053.800000000003</v>
      </c>
      <c r="K8" s="194">
        <f>E8-F8-I8</f>
        <v>204117.39450000014</v>
      </c>
      <c r="L8" s="194">
        <f>SUM(L3:L7)</f>
        <v>31053.800000000014</v>
      </c>
    </row>
    <row r="10" spans="1:14" x14ac:dyDescent="0.25">
      <c r="J10" s="51"/>
    </row>
    <row r="11" spans="1:14" x14ac:dyDescent="0.25">
      <c r="G11" s="51"/>
      <c r="H11" s="51"/>
      <c r="I11" s="51"/>
    </row>
    <row r="12" spans="1:14" x14ac:dyDescent="0.25">
      <c r="E12" s="51"/>
      <c r="G12" s="51"/>
      <c r="I12" s="51"/>
      <c r="K12" s="51"/>
    </row>
    <row r="13" spans="1:14" x14ac:dyDescent="0.25">
      <c r="H13" s="51"/>
    </row>
    <row r="14" spans="1:14" x14ac:dyDescent="0.25">
      <c r="I14" s="51"/>
    </row>
    <row r="15" spans="1:14" x14ac:dyDescent="0.25">
      <c r="J15" s="51"/>
    </row>
    <row r="17" spans="8:9" x14ac:dyDescent="0.25">
      <c r="H17" s="51"/>
      <c r="I17" s="3"/>
    </row>
  </sheetData>
  <conditionalFormatting sqref="L1:L7 L9:L1048576">
    <cfRule type="cellIs" dxfId="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5"/>
  <sheetViews>
    <sheetView topLeftCell="K1" zoomScale="80" zoomScaleNormal="80" zoomScalePageLayoutView="120" workbookViewId="0">
      <pane ySplit="3" topLeftCell="A4" activePane="bottomLeft" state="frozen"/>
      <selection pane="bottomLeft" activeCell="X6" sqref="X6"/>
    </sheetView>
  </sheetViews>
  <sheetFormatPr defaultColWidth="7.42578125" defaultRowHeight="15" x14ac:dyDescent="0.25"/>
  <cols>
    <col min="1" max="1" width="56" style="15" customWidth="1"/>
    <col min="2" max="2" width="20" style="15" customWidth="1"/>
    <col min="3" max="3" width="18.28515625" style="19" customWidth="1"/>
    <col min="4" max="4" width="18" style="116" hidden="1" customWidth="1"/>
    <col min="5" max="5" width="18" style="19" customWidth="1"/>
    <col min="6" max="6" width="16.42578125" style="15" customWidth="1"/>
    <col min="7" max="7" width="15.7109375" style="15" customWidth="1"/>
    <col min="8" max="8" width="18.5703125" style="15" customWidth="1"/>
    <col min="9" max="9" width="10.28515625" style="15" customWidth="1"/>
    <col min="10" max="10" width="17.85546875" style="15" customWidth="1"/>
    <col min="11" max="11" width="18.85546875" style="15" customWidth="1"/>
    <col min="12" max="12" width="18.42578125" style="15" customWidth="1"/>
    <col min="13" max="13" width="16.5703125" style="15" hidden="1" customWidth="1"/>
    <col min="14" max="14" width="19.5703125" style="15" customWidth="1"/>
    <col min="15" max="16" width="19.85546875" style="15" customWidth="1"/>
    <col min="17" max="17" width="24.42578125" style="15" bestFit="1" customWidth="1"/>
    <col min="18" max="18" width="17.42578125" style="15" customWidth="1"/>
    <col min="19" max="19" width="17.42578125" style="15" bestFit="1" customWidth="1"/>
    <col min="20" max="20" width="21.28515625" style="15" customWidth="1"/>
    <col min="21" max="21" width="19" style="15" customWidth="1"/>
    <col min="22" max="22" width="22" style="15" customWidth="1"/>
    <col min="23" max="23" width="21.42578125" style="15" customWidth="1"/>
    <col min="24" max="24" width="19.42578125" style="15" customWidth="1"/>
    <col min="25" max="25" width="16" style="15" customWidth="1"/>
    <col min="26" max="29" width="7.42578125" style="15" customWidth="1"/>
    <col min="30" max="30" width="25.28515625" style="15" customWidth="1"/>
    <col min="31" max="32" width="7.42578125" style="15" customWidth="1"/>
    <col min="33" max="16384" width="7.42578125" style="15"/>
  </cols>
  <sheetData>
    <row r="1" spans="1:25" ht="18.75" x14ac:dyDescent="0.3">
      <c r="A1" s="108" t="s">
        <v>18</v>
      </c>
      <c r="B1" s="133"/>
    </row>
    <row r="2" spans="1:25" ht="19.5" thickBot="1" x14ac:dyDescent="0.3">
      <c r="A2" s="109">
        <v>46366.19</v>
      </c>
      <c r="B2" s="134"/>
    </row>
    <row r="3" spans="1:25" ht="90.75" customHeight="1" thickBot="1" x14ac:dyDescent="0.3">
      <c r="A3" s="113" t="s">
        <v>7</v>
      </c>
      <c r="B3" s="113" t="s">
        <v>106</v>
      </c>
      <c r="C3" s="113" t="s">
        <v>135</v>
      </c>
      <c r="D3" s="117" t="s">
        <v>116</v>
      </c>
      <c r="E3" s="113" t="s">
        <v>20</v>
      </c>
      <c r="F3" s="113" t="s">
        <v>13</v>
      </c>
      <c r="G3" s="113" t="s">
        <v>14</v>
      </c>
      <c r="H3" s="115" t="s">
        <v>15</v>
      </c>
      <c r="I3" s="113" t="s">
        <v>16</v>
      </c>
      <c r="J3" s="113" t="s">
        <v>136</v>
      </c>
      <c r="K3" s="114" t="s">
        <v>21</v>
      </c>
      <c r="L3" s="114" t="s">
        <v>22</v>
      </c>
      <c r="M3" s="54" t="s">
        <v>23</v>
      </c>
      <c r="N3" s="113" t="s">
        <v>24</v>
      </c>
      <c r="O3" s="188" t="s">
        <v>107</v>
      </c>
      <c r="P3" s="188" t="s">
        <v>112</v>
      </c>
      <c r="Q3" s="188" t="s">
        <v>113</v>
      </c>
      <c r="R3" s="188" t="s">
        <v>114</v>
      </c>
      <c r="S3" s="113" t="s">
        <v>25</v>
      </c>
      <c r="T3" s="113" t="s">
        <v>137</v>
      </c>
      <c r="U3" s="114" t="s">
        <v>137</v>
      </c>
      <c r="V3" s="113" t="s">
        <v>26</v>
      </c>
      <c r="X3" s="189" t="s">
        <v>115</v>
      </c>
      <c r="Y3" s="199" t="s">
        <v>108</v>
      </c>
    </row>
    <row r="4" spans="1:25" x14ac:dyDescent="0.25">
      <c r="A4" s="138" t="str">
        <f>'Dados dos procuradores'!A2</f>
        <v>TESTE 1</v>
      </c>
      <c r="B4" s="100">
        <f>VLOOKUP(F4,'AUXÍLIOS HONORÁRIOS '!B:K,10,0)</f>
        <v>175778.0230000001</v>
      </c>
      <c r="C4" s="62">
        <f>VLOOKUP(F4,'AUXÍLIOS HONORÁRIOS '!B:J,9,0)</f>
        <v>5629.2000000000007</v>
      </c>
      <c r="D4" s="62">
        <v>0</v>
      </c>
      <c r="E4" s="62">
        <f>+B4</f>
        <v>175778.0230000001</v>
      </c>
      <c r="F4" s="63" t="str">
        <f>'Dados dos procuradores'!B2</f>
        <v>000.000.000-01</v>
      </c>
      <c r="G4" s="63">
        <f>'Dados dos procuradores'!T2</f>
        <v>0</v>
      </c>
      <c r="H4" s="63">
        <f>'Dados dos procuradores'!U2</f>
        <v>0</v>
      </c>
      <c r="I4" s="105">
        <f>'Dados dos procuradores'!V2</f>
        <v>0</v>
      </c>
      <c r="J4" s="58">
        <v>45064.1</v>
      </c>
      <c r="K4" s="110">
        <f>IF(J4&gt;=$A$2,0,$A$2-J4)</f>
        <v>1302.0900000000038</v>
      </c>
      <c r="L4" s="110">
        <f>IF(K4&gt;E4,E4,K4)</f>
        <v>1302.0900000000038</v>
      </c>
      <c r="M4" s="62">
        <f>IF(L4&lt;=5000,0,IF(AND(L4&gt;5000,L4&lt;=7350),((L4*IR!$C$12-IR!$E$12)-(978.62-(IR!$C$11*L4))),(L4*IR!$C$12-IR!$E$12)))</f>
        <v>0</v>
      </c>
      <c r="N4" s="110">
        <f>+ROUND(M4,2)</f>
        <v>0</v>
      </c>
      <c r="O4" s="110">
        <f t="shared" ref="O4:O8" si="0">L4-N4</f>
        <v>1302.0900000000038</v>
      </c>
      <c r="P4" s="110">
        <f>'AUXÍLIOS HONORÁRIOS '!F3</f>
        <v>0</v>
      </c>
      <c r="Q4" s="110">
        <f>'AUXÍLIOS HONORÁRIOS '!I3</f>
        <v>0</v>
      </c>
      <c r="R4" s="110">
        <f>O4+P4+Q4</f>
        <v>1302.0900000000038</v>
      </c>
      <c r="S4" s="110">
        <f>L4-N4+'AUXÍLIOS HONORÁRIOS '!I3+'AUXÍLIOS HONORÁRIOS '!F3</f>
        <v>1302.0900000000038</v>
      </c>
      <c r="T4" s="110">
        <f t="shared" ref="T4:T8" si="1">C4+D4-L4</f>
        <v>4327.1099999999969</v>
      </c>
      <c r="U4" s="110">
        <f t="shared" ref="U4:U8" si="2">IF(T4&lt;0,0,T4)</f>
        <v>4327.1099999999969</v>
      </c>
      <c r="V4" s="112">
        <f>E4-L4</f>
        <v>174475.93300000011</v>
      </c>
      <c r="X4" s="73">
        <f>V4-'AUXÍLIOS HONORÁRIOS '!C3</f>
        <v>4327.1100000000151</v>
      </c>
      <c r="Y4" s="73">
        <f>T4-X4</f>
        <v>-1.8189894035458565E-11</v>
      </c>
    </row>
    <row r="5" spans="1:25" x14ac:dyDescent="0.25">
      <c r="A5" s="17" t="str">
        <f>'Dados dos procuradores'!A3</f>
        <v>TESTE 2</v>
      </c>
      <c r="B5" s="100">
        <f>VLOOKUP(F5,'AUXÍLIOS HONORÁRIOS '!B:K,10,0)</f>
        <v>5629.2000000000007</v>
      </c>
      <c r="C5" s="62">
        <f>VLOOKUP(F5,'AUXÍLIOS HONORÁRIOS '!B:J,9,0)</f>
        <v>5629.2000000000007</v>
      </c>
      <c r="D5" s="62">
        <v>0</v>
      </c>
      <c r="E5" s="62">
        <f t="shared" ref="E5:E8" si="3">+B5</f>
        <v>5629.2000000000007</v>
      </c>
      <c r="F5" s="14" t="str">
        <f>'Dados dos procuradores'!B3</f>
        <v>000.000.000-02</v>
      </c>
      <c r="G5" s="14">
        <f>'Dados dos procuradores'!T3</f>
        <v>0</v>
      </c>
      <c r="H5" s="14">
        <f>'Dados dos procuradores'!U3</f>
        <v>0</v>
      </c>
      <c r="I5" s="68">
        <f>'Dados dos procuradores'!V3</f>
        <v>0</v>
      </c>
      <c r="J5" s="58">
        <v>34669.42</v>
      </c>
      <c r="K5" s="110">
        <f t="shared" ref="K5:K8" si="4">IF(J5&gt;=$A$2,0,$A$2-J5)</f>
        <v>11696.770000000004</v>
      </c>
      <c r="L5" s="110">
        <f t="shared" ref="L5:L6" si="5">IF(K5&gt;E5,E5,K5)</f>
        <v>5629.2000000000007</v>
      </c>
      <c r="M5" s="62">
        <f>IF(L5&lt;=5000,0,IF(AND(L5&gt;5000,L5&lt;=7350),((L5*IR!$C$12-IR!$E$12)-(978.62-(IR!$C$11*L5))),(L5*IR!$C$12-IR!$E$12)))</f>
        <v>410.1798340000006</v>
      </c>
      <c r="N5" s="106">
        <f t="shared" ref="N5:N8" si="6">+ROUND(M5,2)</f>
        <v>410.18</v>
      </c>
      <c r="O5" s="110">
        <f t="shared" si="0"/>
        <v>5219.0200000000004</v>
      </c>
      <c r="P5" s="110">
        <f>'AUXÍLIOS HONORÁRIOS '!F4</f>
        <v>0</v>
      </c>
      <c r="Q5" s="110">
        <f>'AUXÍLIOS HONORÁRIOS '!I4</f>
        <v>0</v>
      </c>
      <c r="R5" s="110">
        <f t="shared" ref="R5:R8" si="7">O5+P5+Q5</f>
        <v>5219.0200000000004</v>
      </c>
      <c r="S5" s="110">
        <f>L5-N5+'AUXÍLIOS HONORÁRIOS '!I4+'AUXÍLIOS HONORÁRIOS '!F4</f>
        <v>5219.0200000000004</v>
      </c>
      <c r="T5" s="110">
        <f t="shared" si="1"/>
        <v>0</v>
      </c>
      <c r="U5" s="110">
        <f t="shared" si="2"/>
        <v>0</v>
      </c>
      <c r="V5" s="112">
        <f t="shared" ref="V5:V7" si="8">E5-L5</f>
        <v>0</v>
      </c>
      <c r="X5" s="73">
        <f>V5-'AUXÍLIOS HONORÁRIOS '!C4</f>
        <v>0</v>
      </c>
      <c r="Y5" s="73">
        <f t="shared" ref="Y5:Y8" si="9">T5-X5</f>
        <v>0</v>
      </c>
    </row>
    <row r="6" spans="1:25" x14ac:dyDescent="0.25">
      <c r="A6" s="17" t="str">
        <f>'Dados dos procuradores'!A4</f>
        <v>TESTE 3</v>
      </c>
      <c r="B6" s="100">
        <f>VLOOKUP(F6,'AUXÍLIOS HONORÁRIOS '!B:K,10,0)</f>
        <v>5629.2000000000007</v>
      </c>
      <c r="C6" s="62">
        <f>VLOOKUP(F6,'AUXÍLIOS HONORÁRIOS '!B:J,9,0)</f>
        <v>5629.2000000000007</v>
      </c>
      <c r="D6" s="62">
        <v>0</v>
      </c>
      <c r="E6" s="62">
        <f t="shared" si="3"/>
        <v>5629.2000000000007</v>
      </c>
      <c r="F6" s="14" t="str">
        <f>'Dados dos procuradores'!B4</f>
        <v>000.000.000-03</v>
      </c>
      <c r="G6" s="14">
        <f>'Dados dos procuradores'!T4</f>
        <v>0</v>
      </c>
      <c r="H6" s="14">
        <f>'Dados dos procuradores'!U4</f>
        <v>0</v>
      </c>
      <c r="I6" s="68">
        <f>'Dados dos procuradores'!V4</f>
        <v>0</v>
      </c>
      <c r="J6" s="58">
        <v>18776.7</v>
      </c>
      <c r="K6" s="110">
        <f t="shared" si="4"/>
        <v>27589.49</v>
      </c>
      <c r="L6" s="110">
        <f t="shared" si="5"/>
        <v>5629.2000000000007</v>
      </c>
      <c r="M6" s="62">
        <f>IF(L6&lt;=5000,0,IF(AND(L6&gt;5000,L6&lt;=7350),((L6*IR!$C$12-IR!$E$12)-(978.62-(IR!$C$11*L6))),(L6*IR!$C$12-IR!$E$12)))</f>
        <v>410.1798340000006</v>
      </c>
      <c r="N6" s="106">
        <f t="shared" si="6"/>
        <v>410.18</v>
      </c>
      <c r="O6" s="110">
        <f t="shared" si="0"/>
        <v>5219.0200000000004</v>
      </c>
      <c r="P6" s="110">
        <f>'AUXÍLIOS HONORÁRIOS '!F5</f>
        <v>0</v>
      </c>
      <c r="Q6" s="110">
        <f>'AUXÍLIOS HONORÁRIOS '!I5</f>
        <v>0</v>
      </c>
      <c r="R6" s="110">
        <f t="shared" si="7"/>
        <v>5219.0200000000004</v>
      </c>
      <c r="S6" s="110">
        <f>L6-N6+'AUXÍLIOS HONORÁRIOS '!I5+'AUXÍLIOS HONORÁRIOS '!F5</f>
        <v>5219.0200000000004</v>
      </c>
      <c r="T6" s="110">
        <f t="shared" si="1"/>
        <v>0</v>
      </c>
      <c r="U6" s="110">
        <f t="shared" si="2"/>
        <v>0</v>
      </c>
      <c r="V6" s="112">
        <f t="shared" si="8"/>
        <v>0</v>
      </c>
      <c r="X6" s="73">
        <f>V6-'AUXÍLIOS HONORÁRIOS '!C5</f>
        <v>0</v>
      </c>
      <c r="Y6" s="73">
        <f t="shared" si="9"/>
        <v>0</v>
      </c>
    </row>
    <row r="7" spans="1:25" x14ac:dyDescent="0.25">
      <c r="A7" s="17" t="str">
        <f>'Dados dos procuradores'!A5</f>
        <v>TESTE 4</v>
      </c>
      <c r="B7" s="100">
        <f>VLOOKUP(F7,'AUXÍLIOS HONORÁRIOS '!B:K,10,0)</f>
        <v>8537</v>
      </c>
      <c r="C7" s="62">
        <f>VLOOKUP(F7,'AUXÍLIOS HONORÁRIOS '!B:J,9,0)</f>
        <v>8537</v>
      </c>
      <c r="D7" s="62">
        <v>0</v>
      </c>
      <c r="E7" s="62">
        <f t="shared" si="3"/>
        <v>8537</v>
      </c>
      <c r="F7" s="14" t="str">
        <f>'Dados dos procuradores'!B5</f>
        <v>000.000.000-04</v>
      </c>
      <c r="G7" s="14">
        <f>'Dados dos procuradores'!T5</f>
        <v>0</v>
      </c>
      <c r="H7" s="14">
        <f>'Dados dos procuradores'!U5</f>
        <v>0</v>
      </c>
      <c r="I7" s="68">
        <f>'Dados dos procuradores'!V5</f>
        <v>0</v>
      </c>
      <c r="J7" s="58">
        <v>38896.17</v>
      </c>
      <c r="K7" s="110">
        <f t="shared" si="4"/>
        <v>7470.0200000000041</v>
      </c>
      <c r="L7" s="110">
        <f>IF(K7&gt;E7,E7,K7)</f>
        <v>7470.0200000000041</v>
      </c>
      <c r="M7" s="62">
        <f>IF(L7&lt;=5000,0,IF(AND(L7&gt;5000,L7&lt;=7350),((L7*IR!$C$12-IR!$E$12)-(978.62-(IR!$C$11*L7))),(L7*IR!$C$12-IR!$E$12)))</f>
        <v>1145.5255000000011</v>
      </c>
      <c r="N7" s="106">
        <f t="shared" si="6"/>
        <v>1145.53</v>
      </c>
      <c r="O7" s="110">
        <f t="shared" si="0"/>
        <v>6324.4900000000043</v>
      </c>
      <c r="P7" s="110">
        <f>'AUXÍLIOS HONORÁRIOS '!F6</f>
        <v>1300</v>
      </c>
      <c r="Q7" s="110">
        <f>'AUXÍLIOS HONORÁRIOS '!I6</f>
        <v>4236</v>
      </c>
      <c r="R7" s="110">
        <f t="shared" si="7"/>
        <v>11860.490000000005</v>
      </c>
      <c r="S7" s="110">
        <f>L7-N7+'AUXÍLIOS HONORÁRIOS '!I6+'AUXÍLIOS HONORÁRIOS '!F6</f>
        <v>11860.490000000005</v>
      </c>
      <c r="T7" s="110">
        <f t="shared" si="1"/>
        <v>1066.9799999999959</v>
      </c>
      <c r="U7" s="110">
        <f t="shared" si="2"/>
        <v>1066.9799999999959</v>
      </c>
      <c r="V7" s="112">
        <f t="shared" si="8"/>
        <v>1066.9799999999959</v>
      </c>
      <c r="X7" s="73">
        <f>V7-'AUXÍLIOS HONORÁRIOS '!C6</f>
        <v>1066.9799999999959</v>
      </c>
      <c r="Y7" s="73">
        <f t="shared" si="9"/>
        <v>0</v>
      </c>
    </row>
    <row r="8" spans="1:25" x14ac:dyDescent="0.25">
      <c r="A8" s="17" t="str">
        <f>'Dados dos procuradores'!A6</f>
        <v>TESTE 5</v>
      </c>
      <c r="B8" s="100">
        <f>VLOOKUP(F8,'AUXÍLIOS HONORÁRIOS '!B:K,10,0)</f>
        <v>8543.9715000000015</v>
      </c>
      <c r="C8" s="62">
        <f>VLOOKUP(F8,'AUXÍLIOS HONORÁRIOS '!B:J,9,0)</f>
        <v>5629.2000000000007</v>
      </c>
      <c r="D8" s="62">
        <v>0</v>
      </c>
      <c r="E8" s="62">
        <f t="shared" si="3"/>
        <v>8543.9715000000015</v>
      </c>
      <c r="F8" s="14" t="str">
        <f>'Dados dos procuradores'!B6</f>
        <v>000.000.000-05</v>
      </c>
      <c r="G8" s="14">
        <f>'Dados dos procuradores'!T6</f>
        <v>0</v>
      </c>
      <c r="H8" s="14">
        <f>'Dados dos procuradores'!U6</f>
        <v>0</v>
      </c>
      <c r="I8" s="68">
        <f>'Dados dos procuradores'!V6</f>
        <v>0</v>
      </c>
      <c r="J8" s="58">
        <v>37973.42</v>
      </c>
      <c r="K8" s="110">
        <f t="shared" si="4"/>
        <v>8392.7700000000041</v>
      </c>
      <c r="L8" s="110">
        <f>PA!D6</f>
        <v>4784.8200000000006</v>
      </c>
      <c r="M8" s="62">
        <f>IF(L8&lt;=5000,0,IF(AND(L8&gt;5000,L8&lt;=7350),((L8*IR!$C$12-IR!$E$12)-(978.62-(IR!$C$11*L8))),(L8*IR!$C$12-IR!$E$12)))</f>
        <v>0</v>
      </c>
      <c r="N8" s="106">
        <f t="shared" si="6"/>
        <v>0</v>
      </c>
      <c r="O8" s="110">
        <f t="shared" si="0"/>
        <v>4784.8200000000006</v>
      </c>
      <c r="P8" s="110">
        <f>'AUXÍLIOS HONORÁRIOS '!F7</f>
        <v>0</v>
      </c>
      <c r="Q8" s="110">
        <f>'AUXÍLIOS HONORÁRIOS '!I7</f>
        <v>0</v>
      </c>
      <c r="R8" s="110">
        <f t="shared" si="7"/>
        <v>4784.8200000000006</v>
      </c>
      <c r="S8" s="110">
        <f>L8-N8+'AUXÍLIOS HONORÁRIOS '!I7+'AUXÍLIOS HONORÁRIOS '!F7</f>
        <v>4784.8200000000006</v>
      </c>
      <c r="T8" s="110">
        <f t="shared" si="1"/>
        <v>844.38000000000011</v>
      </c>
      <c r="U8" s="110">
        <f t="shared" si="2"/>
        <v>844.38000000000011</v>
      </c>
      <c r="V8" s="112">
        <f>E8-L8-L9</f>
        <v>2914.7715000000007</v>
      </c>
      <c r="W8" s="15" t="s">
        <v>50</v>
      </c>
      <c r="X8" s="73">
        <f>V8-'AUXÍLIOS HONORÁRIOS '!C7</f>
        <v>0</v>
      </c>
      <c r="Y8" s="190">
        <f t="shared" si="9"/>
        <v>844.38000000000011</v>
      </c>
    </row>
    <row r="9" spans="1:25" x14ac:dyDescent="0.25">
      <c r="A9" s="107" t="s">
        <v>148</v>
      </c>
      <c r="B9" s="123"/>
      <c r="C9" s="77"/>
      <c r="D9" s="77"/>
      <c r="E9" s="77"/>
      <c r="F9" s="77" t="s">
        <v>27</v>
      </c>
      <c r="G9" s="77" t="s">
        <v>28</v>
      </c>
      <c r="H9" s="77" t="s">
        <v>17</v>
      </c>
      <c r="I9" s="128">
        <v>522</v>
      </c>
      <c r="J9" s="77"/>
      <c r="K9" s="145"/>
      <c r="L9" s="145">
        <f>PA!D5</f>
        <v>844.38000000000011</v>
      </c>
      <c r="M9" s="77"/>
      <c r="N9" s="77"/>
      <c r="O9" s="101">
        <f t="shared" ref="O9" si="10">L9</f>
        <v>844.38000000000011</v>
      </c>
      <c r="P9" s="101"/>
      <c r="Q9" s="101"/>
      <c r="R9" s="101">
        <f t="shared" ref="R9" si="11">O9+P9+Q9</f>
        <v>844.38000000000011</v>
      </c>
      <c r="S9" s="101">
        <f t="shared" ref="S9" si="12">O9+P9+Q9</f>
        <v>844.38000000000011</v>
      </c>
      <c r="T9" s="77"/>
      <c r="U9" s="101"/>
      <c r="V9" s="77"/>
      <c r="W9" s="15" t="s">
        <v>50</v>
      </c>
    </row>
    <row r="10" spans="1:25" ht="15.75" thickBot="1" x14ac:dyDescent="0.3">
      <c r="A10" s="150" t="s">
        <v>29</v>
      </c>
      <c r="B10" s="127">
        <f>SUM(B4:B9)</f>
        <v>204117.39450000014</v>
      </c>
      <c r="C10" s="127">
        <f>SUM(C4:C9)</f>
        <v>31053.800000000003</v>
      </c>
      <c r="D10" s="127">
        <f>SUM(D4:D9)</f>
        <v>0</v>
      </c>
      <c r="E10" s="127">
        <f>SUM(E4:E9)</f>
        <v>204117.39450000014</v>
      </c>
      <c r="J10" s="151"/>
      <c r="K10" s="152"/>
      <c r="L10" s="152">
        <f t="shared" ref="L10:V10" si="13">SUM(L4:L9)</f>
        <v>25659.71000000001</v>
      </c>
      <c r="M10" s="152">
        <f t="shared" si="13"/>
        <v>1965.8851680000023</v>
      </c>
      <c r="N10" s="152">
        <f t="shared" si="13"/>
        <v>1965.8899999999999</v>
      </c>
      <c r="O10" s="152">
        <f t="shared" si="13"/>
        <v>23693.820000000011</v>
      </c>
      <c r="P10" s="152">
        <f t="shared" si="13"/>
        <v>1300</v>
      </c>
      <c r="Q10" s="152">
        <f t="shared" si="13"/>
        <v>4236</v>
      </c>
      <c r="R10" s="152">
        <f t="shared" si="13"/>
        <v>29229.820000000011</v>
      </c>
      <c r="S10" s="152">
        <f t="shared" si="13"/>
        <v>29229.820000000011</v>
      </c>
      <c r="T10" s="152">
        <f t="shared" si="13"/>
        <v>6238.469999999993</v>
      </c>
      <c r="U10" s="152">
        <f t="shared" si="13"/>
        <v>6238.469999999993</v>
      </c>
      <c r="V10" s="152">
        <f t="shared" si="13"/>
        <v>178457.68450000012</v>
      </c>
      <c r="X10" s="191">
        <f>SUM(X4:X9)</f>
        <v>5394.0900000000111</v>
      </c>
      <c r="Y10" s="73">
        <f>SUM(Y4:Y9)</f>
        <v>844.37999999998192</v>
      </c>
    </row>
    <row r="11" spans="1:25" ht="22.5" customHeight="1" thickBot="1" x14ac:dyDescent="0.3">
      <c r="E11" s="20"/>
      <c r="X11" s="73">
        <f>Cota!E11+Cota!J11</f>
        <v>348.58999999985099</v>
      </c>
      <c r="Y11" s="73"/>
    </row>
    <row r="12" spans="1:25" ht="18" customHeight="1" x14ac:dyDescent="0.25">
      <c r="A12" s="55" t="s">
        <v>30</v>
      </c>
      <c r="B12" s="119"/>
      <c r="C12" s="119">
        <f>COUNTIFS($H$4:$H$9,"=BRB (070)",$S$4:$S$9,"&gt;0")</f>
        <v>0</v>
      </c>
      <c r="D12" s="119"/>
      <c r="E12" s="16">
        <f>SUMIFS(S4:S9,H4:H9,"=BRB (070)")</f>
        <v>0</v>
      </c>
      <c r="F12" s="73"/>
      <c r="L12" s="73"/>
      <c r="X12" s="73">
        <f>X10+X11</f>
        <v>5742.679999999862</v>
      </c>
      <c r="Y12" s="73"/>
    </row>
    <row r="13" spans="1:25" ht="18.75" customHeight="1" x14ac:dyDescent="0.25">
      <c r="A13" s="56" t="s">
        <v>31</v>
      </c>
      <c r="B13" s="120"/>
      <c r="C13" s="185">
        <f>COUNTIFS($H$4:$H$9,"&lt;&gt;BRB (070)",$S$4:$S$9,"&gt;0")</f>
        <v>6</v>
      </c>
      <c r="D13" s="185"/>
      <c r="E13" s="18">
        <f>SUMIFS(S4:S9,H4:H9,"&lt;&gt;BRB (070)")</f>
        <v>29229.820000000011</v>
      </c>
      <c r="G13" s="73"/>
      <c r="H13" s="73"/>
      <c r="L13" s="73"/>
      <c r="N13" s="111"/>
      <c r="O13" s="111"/>
      <c r="P13" s="111"/>
      <c r="Q13" s="111"/>
      <c r="R13" s="111"/>
      <c r="S13" s="111"/>
      <c r="T13" s="111"/>
    </row>
    <row r="14" spans="1:25" x14ac:dyDescent="0.25">
      <c r="A14" s="56" t="s">
        <v>32</v>
      </c>
      <c r="B14" s="124"/>
      <c r="C14" s="69"/>
      <c r="D14" s="120"/>
      <c r="E14" s="58">
        <f>N10</f>
        <v>1965.8899999999999</v>
      </c>
      <c r="G14" s="73"/>
      <c r="H14" s="73"/>
      <c r="J14" s="111"/>
      <c r="L14" s="111"/>
      <c r="M14" s="111"/>
      <c r="N14" s="111"/>
      <c r="O14" s="111"/>
      <c r="P14" s="111"/>
      <c r="Q14" s="111"/>
      <c r="R14" s="111"/>
      <c r="S14" s="111"/>
      <c r="T14" s="73"/>
      <c r="U14" s="111"/>
      <c r="V14" s="111"/>
    </row>
    <row r="15" spans="1:25" ht="15.75" thickBot="1" x14ac:dyDescent="0.3">
      <c r="A15" s="57" t="s">
        <v>33</v>
      </c>
      <c r="B15" s="125"/>
      <c r="C15" s="70"/>
      <c r="D15" s="121"/>
      <c r="E15" s="59">
        <f>SUM(E12:E14)</f>
        <v>31195.71000000001</v>
      </c>
      <c r="G15" s="73"/>
      <c r="I15" s="73"/>
      <c r="J15" s="111"/>
      <c r="K15" s="111"/>
      <c r="L15" s="73"/>
      <c r="N15" s="111"/>
      <c r="O15" s="111"/>
      <c r="P15" s="111"/>
      <c r="Q15" s="111"/>
      <c r="R15" s="111"/>
      <c r="S15" s="111"/>
      <c r="T15" s="111"/>
      <c r="U15" s="111"/>
      <c r="V15" s="111"/>
      <c r="X15" s="73"/>
    </row>
    <row r="16" spans="1:25" x14ac:dyDescent="0.25">
      <c r="H16" s="73"/>
      <c r="K16" s="111"/>
      <c r="L16" s="169"/>
      <c r="N16" s="111"/>
      <c r="O16" s="73"/>
      <c r="P16" s="73"/>
      <c r="Q16" s="73"/>
      <c r="R16" s="73"/>
      <c r="S16" s="73"/>
      <c r="T16" s="73"/>
      <c r="U16" s="73"/>
      <c r="V16" s="73"/>
      <c r="W16" s="111"/>
      <c r="X16" s="73"/>
    </row>
    <row r="17" spans="5:25" x14ac:dyDescent="0.25">
      <c r="K17" s="111"/>
      <c r="L17" s="73"/>
      <c r="N17" s="111"/>
      <c r="O17" s="73"/>
      <c r="P17" s="73"/>
      <c r="Q17" s="73"/>
      <c r="R17" s="73"/>
      <c r="S17" s="73"/>
      <c r="T17" s="73"/>
      <c r="U17" s="73"/>
    </row>
    <row r="18" spans="5:25" x14ac:dyDescent="0.25">
      <c r="I18" s="73"/>
      <c r="L18" s="73"/>
      <c r="N18" s="73"/>
      <c r="O18" s="111"/>
      <c r="P18" s="111"/>
      <c r="Q18" s="111"/>
      <c r="R18" s="111"/>
      <c r="S18" s="111"/>
      <c r="T18" s="111"/>
      <c r="U18" s="111"/>
      <c r="W18" s="73"/>
      <c r="X18" s="73"/>
      <c r="Y18" s="73"/>
    </row>
    <row r="19" spans="5:25" x14ac:dyDescent="0.25">
      <c r="N19" s="111"/>
      <c r="O19" s="111"/>
      <c r="P19" s="111"/>
      <c r="Q19" s="111"/>
      <c r="R19" s="111"/>
      <c r="S19" s="111"/>
      <c r="T19" s="73"/>
    </row>
    <row r="20" spans="5:25" ht="102" customHeight="1" x14ac:dyDescent="0.25">
      <c r="K20" s="73"/>
      <c r="L20" s="73"/>
      <c r="T20" s="73"/>
      <c r="U20" s="73"/>
    </row>
    <row r="23" spans="5:25" x14ac:dyDescent="0.25">
      <c r="E23" s="126"/>
    </row>
    <row r="24" spans="5:25" x14ac:dyDescent="0.25">
      <c r="E24" s="126"/>
    </row>
    <row r="25" spans="5:25" x14ac:dyDescent="0.25">
      <c r="E25" s="20"/>
    </row>
  </sheetData>
  <autoFilter ref="A3:Y15" xr:uid="{00000000-0009-0000-0000-000003000000}"/>
  <phoneticPr fontId="6" type="noConversion"/>
  <conditionalFormatting sqref="J4:J8">
    <cfRule type="cellIs" dxfId="2" priority="2" operator="equal">
      <formula>0</formula>
    </cfRule>
  </conditionalFormatting>
  <conditionalFormatting sqref="K4:K8 T4:T8">
    <cfRule type="cellIs" dxfId="1" priority="7" operator="lessThan">
      <formula>0</formula>
    </cfRule>
  </conditionalFormatting>
  <conditionalFormatting sqref="X1:X2 X4:X1048576">
    <cfRule type="cellIs" dxfId="0" priority="1" operator="lessThan">
      <formula>0</formula>
    </cfRule>
  </conditionalFormatting>
  <printOptions horizontalCentered="1"/>
  <pageMargins left="0.7" right="0.7" top="0.75" bottom="0.75" header="0.3" footer="0.3"/>
  <pageSetup paperSize="9" scale="36" orientation="landscape" r:id="rId1"/>
  <headerFooter>
    <oddHeader>&amp;CDiretoria de Planejamento, Orçamento e Contabilidade - Procuradoria-Geral do Distrito Federal
&amp;"-,Negrito"RELATÓRIO DE DISTRIBUIÇÃO DE HONORÁRIOS</oddHeader>
    <oddFooter>&amp;R&amp;D-&amp;T-Pag.&amp;P</oddFooter>
  </headerFooter>
  <colBreaks count="1" manualBreakCount="1">
    <brk id="19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0"/>
  <sheetViews>
    <sheetView workbookViewId="0">
      <selection activeCell="I37" sqref="I37"/>
    </sheetView>
  </sheetViews>
  <sheetFormatPr defaultColWidth="11.42578125" defaultRowHeight="15" x14ac:dyDescent="0.25"/>
  <cols>
    <col min="2" max="2" width="16.85546875" customWidth="1"/>
    <col min="3" max="3" width="13.28515625" customWidth="1"/>
    <col min="5" max="5" width="17.7109375" customWidth="1"/>
    <col min="6" max="6" width="16.28515625" bestFit="1" customWidth="1"/>
    <col min="7" max="7" width="11.140625" bestFit="1" customWidth="1"/>
    <col min="13" max="13" width="18.85546875" bestFit="1" customWidth="1"/>
    <col min="14" max="14" width="17.42578125" bestFit="1" customWidth="1"/>
    <col min="15" max="15" width="16.85546875" customWidth="1"/>
    <col min="16" max="16" width="15.140625" customWidth="1"/>
  </cols>
  <sheetData>
    <row r="1" spans="1:16" ht="15.75" thickBot="1" x14ac:dyDescent="0.3">
      <c r="B1" s="4" t="s">
        <v>34</v>
      </c>
      <c r="C1" s="4" t="s">
        <v>35</v>
      </c>
      <c r="E1" s="13" t="s">
        <v>36</v>
      </c>
    </row>
    <row r="2" spans="1:16" x14ac:dyDescent="0.25">
      <c r="B2" s="8">
        <v>2428.8000000000002</v>
      </c>
      <c r="C2" s="9">
        <v>0</v>
      </c>
      <c r="E2" s="12">
        <v>0</v>
      </c>
      <c r="J2" s="140" t="s">
        <v>132</v>
      </c>
      <c r="K2" s="207"/>
      <c r="L2" s="207"/>
      <c r="M2" s="207"/>
      <c r="N2" s="207"/>
      <c r="O2" s="207"/>
      <c r="P2" s="208"/>
    </row>
    <row r="3" spans="1:16" x14ac:dyDescent="0.25">
      <c r="B3" s="2">
        <v>2826.65</v>
      </c>
      <c r="C3" s="5">
        <v>7.4999999999999997E-2</v>
      </c>
      <c r="E3" s="10">
        <v>182.26</v>
      </c>
      <c r="J3" s="209" t="s">
        <v>123</v>
      </c>
      <c r="K3" t="s">
        <v>124</v>
      </c>
      <c r="L3" t="s">
        <v>37</v>
      </c>
      <c r="M3" t="s">
        <v>125</v>
      </c>
      <c r="N3" s="210" t="s">
        <v>130</v>
      </c>
      <c r="P3" s="211"/>
    </row>
    <row r="4" spans="1:16" x14ac:dyDescent="0.25">
      <c r="B4" s="2">
        <v>3751.05</v>
      </c>
      <c r="C4" s="5">
        <v>0.15</v>
      </c>
      <c r="E4" s="10">
        <v>394.16</v>
      </c>
      <c r="J4" s="209">
        <v>6480.87</v>
      </c>
      <c r="K4" s="206">
        <v>0.13314500000000001</v>
      </c>
      <c r="L4" s="144">
        <f>J4*K4</f>
        <v>862.89543615000002</v>
      </c>
      <c r="M4">
        <v>978.62</v>
      </c>
      <c r="N4" s="212">
        <f>M4-L4</f>
        <v>115.72456384999998</v>
      </c>
      <c r="P4" s="211"/>
    </row>
    <row r="5" spans="1:16" x14ac:dyDescent="0.25">
      <c r="B5" s="2">
        <v>4664.68</v>
      </c>
      <c r="C5" s="5">
        <v>0.22500000000000001</v>
      </c>
      <c r="E5" s="10">
        <v>675.49</v>
      </c>
      <c r="J5" s="209"/>
      <c r="P5" s="211"/>
    </row>
    <row r="6" spans="1:16" ht="15.75" thickBot="1" x14ac:dyDescent="0.3">
      <c r="B6" s="6">
        <v>4664.68</v>
      </c>
      <c r="C6" s="7">
        <v>0.27500000000000002</v>
      </c>
      <c r="E6" s="11">
        <v>908.73</v>
      </c>
      <c r="J6" s="209"/>
      <c r="P6" s="211"/>
    </row>
    <row r="7" spans="1:16" x14ac:dyDescent="0.25">
      <c r="J7" s="209" t="s">
        <v>126</v>
      </c>
      <c r="K7" t="s">
        <v>127</v>
      </c>
      <c r="L7" t="s">
        <v>37</v>
      </c>
      <c r="M7" s="203" t="s">
        <v>128</v>
      </c>
      <c r="N7" t="s">
        <v>129</v>
      </c>
      <c r="O7" s="210" t="s">
        <v>130</v>
      </c>
      <c r="P7" s="211" t="s">
        <v>131</v>
      </c>
    </row>
    <row r="8" spans="1:16" ht="15.75" thickBot="1" x14ac:dyDescent="0.3">
      <c r="A8" s="64" t="s">
        <v>119</v>
      </c>
      <c r="J8" s="213">
        <v>6480.87</v>
      </c>
      <c r="K8" s="214">
        <v>0.27500000000000002</v>
      </c>
      <c r="L8" s="215">
        <f>J8*K8</f>
        <v>1782.2392500000001</v>
      </c>
      <c r="M8" s="216">
        <v>908.73</v>
      </c>
      <c r="N8" s="215">
        <f>L8-M8</f>
        <v>873.50925000000007</v>
      </c>
      <c r="O8" s="217">
        <f>N4</f>
        <v>115.72456384999998</v>
      </c>
      <c r="P8" s="218">
        <f>N8-O8</f>
        <v>757.78468615000008</v>
      </c>
    </row>
    <row r="9" spans="1:16" ht="15.75" thickBot="1" x14ac:dyDescent="0.3">
      <c r="B9" s="4" t="s">
        <v>34</v>
      </c>
      <c r="C9" s="4" t="s">
        <v>35</v>
      </c>
      <c r="E9" s="13" t="s">
        <v>36</v>
      </c>
      <c r="F9" s="13" t="s">
        <v>122</v>
      </c>
    </row>
    <row r="10" spans="1:16" x14ac:dyDescent="0.25">
      <c r="B10" s="8">
        <v>5000</v>
      </c>
      <c r="C10" s="9">
        <v>0</v>
      </c>
      <c r="E10" s="12">
        <v>0</v>
      </c>
      <c r="F10" s="12"/>
    </row>
    <row r="11" spans="1:16" ht="15.75" thickBot="1" x14ac:dyDescent="0.3">
      <c r="A11" s="201" t="s">
        <v>120</v>
      </c>
      <c r="B11" s="8">
        <v>7350</v>
      </c>
      <c r="C11" s="205">
        <v>0.13314500000000001</v>
      </c>
      <c r="E11" s="11">
        <v>908.73</v>
      </c>
      <c r="F11" s="202">
        <v>978.62</v>
      </c>
    </row>
    <row r="12" spans="1:16" ht="15.75" thickBot="1" x14ac:dyDescent="0.3">
      <c r="A12" s="201" t="s">
        <v>121</v>
      </c>
      <c r="B12" s="8">
        <v>7350</v>
      </c>
      <c r="C12" s="204">
        <v>0.27500000000000002</v>
      </c>
      <c r="E12" s="11">
        <v>908.73</v>
      </c>
      <c r="F12" s="12"/>
    </row>
    <row r="20" spans="7:7" x14ac:dyDescent="0.25">
      <c r="G20" s="3"/>
    </row>
  </sheetData>
  <phoneticPr fontId="6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&amp;CDiretoria de Administração do Fundo da Procuradoria-Geral do Distrito Federal
TABELA PROGRESSIVA DO IMPOSTO DE RENDA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41"/>
  <sheetViews>
    <sheetView zoomScaleNormal="100" workbookViewId="0">
      <selection activeCell="K18" sqref="K18"/>
    </sheetView>
  </sheetViews>
  <sheetFormatPr defaultRowHeight="15" x14ac:dyDescent="0.25"/>
  <cols>
    <col min="1" max="1" width="18.7109375" customWidth="1"/>
    <col min="2" max="2" width="59.140625" customWidth="1"/>
    <col min="3" max="3" width="9" customWidth="1"/>
    <col min="4" max="4" width="14.85546875" customWidth="1"/>
    <col min="5" max="9" width="14" customWidth="1"/>
    <col min="10" max="10" width="20.85546875" style="51" customWidth="1"/>
    <col min="11" max="11" width="14" customWidth="1"/>
    <col min="12" max="12" width="15.5703125" customWidth="1"/>
    <col min="13" max="13" width="16.42578125" customWidth="1"/>
  </cols>
  <sheetData>
    <row r="1" spans="1:14" x14ac:dyDescent="0.25">
      <c r="A1" s="129" t="s">
        <v>142</v>
      </c>
      <c r="B1" s="130"/>
      <c r="C1" s="82"/>
      <c r="D1" s="87"/>
      <c r="E1" s="87"/>
      <c r="F1" s="87"/>
      <c r="G1" s="87"/>
      <c r="H1" s="87"/>
      <c r="I1" s="87"/>
      <c r="J1" s="83"/>
      <c r="K1" s="83"/>
      <c r="L1" s="87"/>
    </row>
    <row r="2" spans="1:14" x14ac:dyDescent="0.25">
      <c r="A2" s="47" t="s">
        <v>60</v>
      </c>
      <c r="B2" s="99" t="s">
        <v>148</v>
      </c>
      <c r="C2" s="86"/>
      <c r="D2" s="85"/>
      <c r="E2" s="85"/>
      <c r="F2" s="85"/>
      <c r="G2" s="85"/>
      <c r="H2" s="85"/>
      <c r="I2" s="85"/>
      <c r="J2" s="83"/>
      <c r="K2" s="83"/>
      <c r="L2" s="85"/>
    </row>
    <row r="3" spans="1:14" x14ac:dyDescent="0.25">
      <c r="A3" s="257"/>
      <c r="B3" s="80" t="s">
        <v>50</v>
      </c>
      <c r="C3" s="103" t="s">
        <v>51</v>
      </c>
      <c r="D3" s="88" t="s">
        <v>52</v>
      </c>
      <c r="E3" s="88" t="s">
        <v>53</v>
      </c>
      <c r="F3" s="88" t="s">
        <v>54</v>
      </c>
      <c r="G3" s="88" t="s">
        <v>55</v>
      </c>
      <c r="H3" s="88" t="s">
        <v>56</v>
      </c>
      <c r="I3" s="88" t="s">
        <v>57</v>
      </c>
      <c r="J3" s="88" t="s">
        <v>58</v>
      </c>
      <c r="K3" s="88" t="s">
        <v>93</v>
      </c>
      <c r="L3" s="88" t="s">
        <v>83</v>
      </c>
    </row>
    <row r="4" spans="1:14" x14ac:dyDescent="0.25">
      <c r="A4" s="258"/>
      <c r="B4" s="80" t="s">
        <v>61</v>
      </c>
      <c r="C4" s="80"/>
      <c r="D4" s="83">
        <v>5629.2000000000007</v>
      </c>
      <c r="E4" s="83"/>
      <c r="F4" s="83"/>
      <c r="G4" s="83"/>
      <c r="H4" s="83"/>
      <c r="I4" s="83"/>
      <c r="J4" s="83"/>
      <c r="K4" s="83"/>
      <c r="L4" s="83">
        <v>0</v>
      </c>
    </row>
    <row r="5" spans="1:14" x14ac:dyDescent="0.25">
      <c r="A5" s="258"/>
      <c r="B5" s="80" t="s">
        <v>59</v>
      </c>
      <c r="C5" s="84">
        <v>0.15</v>
      </c>
      <c r="D5" s="83">
        <f t="shared" ref="D5:I5" si="0">D4*$C5</f>
        <v>844.38000000000011</v>
      </c>
      <c r="E5" s="83">
        <f t="shared" si="0"/>
        <v>0</v>
      </c>
      <c r="F5" s="83">
        <f t="shared" si="0"/>
        <v>0</v>
      </c>
      <c r="G5" s="83">
        <f t="shared" si="0"/>
        <v>0</v>
      </c>
      <c r="H5" s="83">
        <f t="shared" si="0"/>
        <v>0</v>
      </c>
      <c r="I5" s="83">
        <f t="shared" si="0"/>
        <v>0</v>
      </c>
      <c r="J5" s="83"/>
      <c r="K5" s="83"/>
      <c r="L5" s="83">
        <v>0</v>
      </c>
      <c r="M5" s="51"/>
      <c r="N5" s="51"/>
    </row>
    <row r="6" spans="1:14" x14ac:dyDescent="0.25">
      <c r="A6" s="258"/>
      <c r="B6" s="80" t="s">
        <v>62</v>
      </c>
      <c r="C6" s="80"/>
      <c r="D6" s="83">
        <f t="shared" ref="D6:I6" si="1">D4-D5</f>
        <v>4784.8200000000006</v>
      </c>
      <c r="E6" s="83">
        <f t="shared" si="1"/>
        <v>0</v>
      </c>
      <c r="F6" s="83">
        <f t="shared" si="1"/>
        <v>0</v>
      </c>
      <c r="G6" s="83">
        <f t="shared" si="1"/>
        <v>0</v>
      </c>
      <c r="H6" s="83">
        <f t="shared" si="1"/>
        <v>0</v>
      </c>
      <c r="I6" s="83">
        <f t="shared" si="1"/>
        <v>0</v>
      </c>
      <c r="J6" s="83"/>
      <c r="K6" s="83"/>
      <c r="L6" s="83">
        <v>0</v>
      </c>
    </row>
    <row r="7" spans="1:14" ht="15.75" thickBot="1" x14ac:dyDescent="0.3">
      <c r="A7" s="259"/>
      <c r="B7" s="13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4" x14ac:dyDescent="0.25">
      <c r="J8"/>
    </row>
    <row r="141" spans="9:9" x14ac:dyDescent="0.25">
      <c r="I141" t="e">
        <f>B141+C141+#REF!+#REF!+#REF!+#REF!+#REF!+#REF!+D141+E141+F141+G141+H141</f>
        <v>#REF!</v>
      </c>
    </row>
  </sheetData>
  <mergeCells count="1">
    <mergeCell ref="A3:A7"/>
  </mergeCells>
  <phoneticPr fontId="6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2</vt:i4>
      </vt:variant>
    </vt:vector>
  </HeadingPairs>
  <TitlesOfParts>
    <vt:vector size="10" baseType="lpstr">
      <vt:lpstr>SOBRA 2026</vt:lpstr>
      <vt:lpstr>Cota</vt:lpstr>
      <vt:lpstr>Dados de Entrada</vt:lpstr>
      <vt:lpstr>Dados dos procuradores</vt:lpstr>
      <vt:lpstr>AUXÍLIOS HONORÁRIOS </vt:lpstr>
      <vt:lpstr>PAGAMENTO</vt:lpstr>
      <vt:lpstr>IR</vt:lpstr>
      <vt:lpstr>PA</vt:lpstr>
      <vt:lpstr>'Dados dos procuradores'!Area_de_impressao</vt:lpstr>
      <vt:lpstr>PAGAMENTO!Titulos_de_impressao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Matheus Teixeira de Oliveira</dc:creator>
  <cp:keywords/>
  <dc:description/>
  <cp:lastModifiedBy>Cleo Neri de Castro</cp:lastModifiedBy>
  <cp:revision/>
  <cp:lastPrinted>2026-04-14T15:20:13Z</cp:lastPrinted>
  <dcterms:created xsi:type="dcterms:W3CDTF">2014-11-21T17:44:12Z</dcterms:created>
  <dcterms:modified xsi:type="dcterms:W3CDTF">2026-09-01T18:42:50Z</dcterms:modified>
  <cp:category/>
  <cp:contentStatus/>
</cp:coreProperties>
</file>